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drawings/drawing2.xml" ContentType="application/vnd.openxmlformats-officedocument.drawing+xml"/>
  <Override PartName="/xl/charts/chart3.xml" ContentType="application/vnd.openxmlformats-officedocument.drawingml.chart+xml"/>
  <Override PartName="/xl/charts/chart4.xml" ContentType="application/vnd.openxmlformats-officedocument.drawingml.chart+xml"/>
  <Override PartName="/xl/charts/chart5.xml" ContentType="application/vnd.openxmlformats-officedocument.drawingml.chart+xml"/>
  <Override PartName="/xl/charts/chart6.xml" ContentType="application/vnd.openxmlformats-officedocument.drawingml.chart+xml"/>
  <Override PartName="/xl/charts/chart7.xml" ContentType="application/vnd.openxmlformats-officedocument.drawingml.chart+xml"/>
  <Override PartName="/xl/charts/chart8.xml" ContentType="application/vnd.openxmlformats-officedocument.drawingml.chart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928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E:\Sono\Reflexion HC\Surround\"/>
    </mc:Choice>
  </mc:AlternateContent>
  <xr:revisionPtr revIDLastSave="0" documentId="13_ncr:1_{D6241E62-A03B-4C92-8905-59F655BACBF8}" xr6:coauthVersionLast="47" xr6:coauthVersionMax="47" xr10:uidLastSave="{00000000-0000-0000-0000-000000000000}"/>
  <bookViews>
    <workbookView xWindow="28680" yWindow="-120" windowWidth="29040" windowHeight="17640" firstSheet="2" activeTab="2" xr2:uid="{00000000-000D-0000-FFFF-FFFF00000000}"/>
  </bookViews>
  <sheets>
    <sheet name="Caractéristique HP" sheetId="8" r:id="rId1"/>
    <sheet name="Clos" sheetId="10" r:id="rId2"/>
    <sheet name="BR Simplifié" sheetId="15" r:id="rId3"/>
    <sheet name="1-4 d'onde" sheetId="9" r:id="rId4"/>
    <sheet name="Calcul Box" sheetId="12" r:id="rId5"/>
    <sheet name="Pavillon" sheetId="16" r:id="rId6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D21" i="15" l="1"/>
  <c r="B21" i="15"/>
  <c r="G21" i="15"/>
  <c r="G23" i="15"/>
  <c r="D69" i="15"/>
  <c r="G69" i="15"/>
  <c r="G66" i="15"/>
  <c r="G64" i="15"/>
  <c r="D68" i="15"/>
  <c r="G68" i="15"/>
  <c r="D66" i="15"/>
  <c r="G27" i="15"/>
  <c r="G40" i="15"/>
  <c r="G44" i="15"/>
  <c r="B33" i="8"/>
  <c r="D40" i="15"/>
  <c r="D44" i="15"/>
  <c r="O3" i="15" l="1"/>
  <c r="Q3" i="15"/>
  <c r="P3" i="15"/>
  <c r="G35" i="15" l="1"/>
  <c r="D35" i="15"/>
  <c r="D14" i="8" l="1"/>
  <c r="D5" i="8" s="1"/>
  <c r="D10" i="8"/>
  <c r="D26" i="15" l="1"/>
  <c r="B69" i="8" l="1"/>
  <c r="B70" i="8" s="1"/>
  <c r="B68" i="8"/>
  <c r="B31" i="8"/>
  <c r="B29" i="8"/>
  <c r="B30" i="8" s="1"/>
  <c r="D8" i="8"/>
  <c r="D26" i="8" s="1"/>
  <c r="D27" i="8" s="1"/>
  <c r="D28" i="8" s="1"/>
  <c r="D21" i="8"/>
  <c r="D6" i="8" l="1"/>
  <c r="D7" i="8"/>
  <c r="B18" i="8"/>
  <c r="B22" i="8" l="1"/>
  <c r="B19" i="8"/>
  <c r="B20" i="8"/>
  <c r="B26" i="8" l="1"/>
  <c r="B27" i="8" s="1"/>
  <c r="B28" i="8" s="1"/>
  <c r="B67" i="15"/>
  <c r="G67" i="15" s="1"/>
  <c r="B62" i="8" l="1"/>
  <c r="B24" i="15" l="1"/>
  <c r="B25" i="15" s="1"/>
  <c r="B31" i="15" s="1"/>
  <c r="D24" i="15" l="1"/>
  <c r="D25" i="15" s="1"/>
  <c r="D31" i="15" s="1"/>
  <c r="G25" i="15" l="1"/>
  <c r="G31" i="15" s="1"/>
  <c r="D67" i="15" l="1"/>
  <c r="D64" i="15"/>
  <c r="F9" i="15" l="1"/>
  <c r="F8" i="15"/>
  <c r="E17" i="15" l="1"/>
  <c r="G17" i="15" s="1"/>
  <c r="F15" i="15"/>
  <c r="E16" i="15"/>
  <c r="G16" i="15" s="1"/>
  <c r="F12" i="15"/>
  <c r="G11" i="15"/>
  <c r="B20" i="16" l="1"/>
  <c r="B28" i="16"/>
  <c r="B27" i="16"/>
  <c r="B15" i="16"/>
  <c r="B13" i="16"/>
  <c r="B10" i="16" s="1"/>
  <c r="B67" i="8"/>
  <c r="B24" i="16" s="1"/>
  <c r="B5" i="16"/>
  <c r="B4" i="16"/>
  <c r="B16" i="16" l="1"/>
  <c r="B14" i="16"/>
  <c r="B17" i="16" l="1"/>
  <c r="B50" i="8" l="1"/>
  <c r="B66" i="8" l="1"/>
  <c r="B45" i="8" l="1"/>
  <c r="B44" i="8" s="1"/>
  <c r="G43" i="15" l="1"/>
  <c r="G26" i="15" l="1"/>
  <c r="B18" i="10" l="1"/>
  <c r="C7" i="10"/>
  <c r="B21" i="8"/>
  <c r="B23" i="10" l="1"/>
  <c r="B32" i="8"/>
  <c r="B11" i="8" l="1"/>
  <c r="B38" i="8" l="1"/>
  <c r="B6" i="16"/>
  <c r="B58" i="8"/>
  <c r="B45" i="15"/>
  <c r="B7" i="16" l="1"/>
  <c r="B24" i="8" l="1"/>
  <c r="E26" i="8"/>
  <c r="D43" i="15"/>
  <c r="B15" i="8"/>
  <c r="B23" i="8"/>
  <c r="B25" i="8"/>
  <c r="B8" i="16" l="1"/>
  <c r="B2" i="16" s="1"/>
  <c r="B11" i="16" s="1"/>
  <c r="B41" i="15"/>
  <c r="B60" i="8"/>
  <c r="B59" i="8" s="1"/>
  <c r="G41" i="15"/>
  <c r="D41" i="15"/>
  <c r="G60" i="15"/>
  <c r="G59" i="15" s="1"/>
  <c r="G57" i="15" s="1"/>
  <c r="B18" i="15"/>
  <c r="B11" i="10"/>
  <c r="D60" i="15"/>
  <c r="D59" i="15" s="1"/>
  <c r="D57" i="15" s="1"/>
  <c r="D45" i="15"/>
  <c r="D33" i="15" l="1"/>
  <c r="B19" i="16"/>
  <c r="B12" i="10" l="1"/>
  <c r="B17" i="15"/>
  <c r="B35" i="8"/>
  <c r="B39" i="8" s="1"/>
  <c r="B34" i="8"/>
  <c r="B40" i="8" l="1"/>
  <c r="B41" i="8" s="1"/>
  <c r="B46" i="8" s="1"/>
  <c r="B36" i="8"/>
  <c r="B47" i="8" l="1"/>
  <c r="B48" i="8" s="1"/>
  <c r="B51" i="8"/>
  <c r="B5" i="15"/>
  <c r="G46" i="15"/>
  <c r="B13" i="15"/>
  <c r="B37" i="8"/>
  <c r="D46" i="15"/>
  <c r="B33" i="15"/>
  <c r="B60" i="15"/>
  <c r="B59" i="15" s="1"/>
  <c r="B57" i="15" s="1"/>
  <c r="B4" i="15"/>
  <c r="B53" i="8" l="1"/>
  <c r="B1" i="15"/>
  <c r="B7" i="15"/>
  <c r="B56" i="8" l="1"/>
  <c r="G39" i="15"/>
  <c r="G54" i="15" s="1"/>
  <c r="B39" i="15"/>
  <c r="B54" i="15" s="1"/>
  <c r="D39" i="15"/>
  <c r="D54" i="15" s="1"/>
  <c r="D27" i="15"/>
  <c r="B27" i="15"/>
  <c r="B57" i="8"/>
  <c r="B43" i="15" l="1"/>
  <c r="B11" i="9" l="1"/>
  <c r="B5" i="9"/>
  <c r="B18" i="9" l="1"/>
  <c r="B21" i="9"/>
  <c r="B20" i="9"/>
  <c r="B17" i="9"/>
  <c r="G1" i="9"/>
  <c r="G4" i="9" s="1"/>
  <c r="G39" i="9"/>
  <c r="G46" i="9" s="1"/>
  <c r="G3" i="9" l="1"/>
  <c r="G7" i="9"/>
  <c r="G5" i="9"/>
  <c r="G9" i="9"/>
  <c r="G6" i="9"/>
  <c r="G8" i="9"/>
  <c r="G2" i="9"/>
  <c r="G10" i="9"/>
  <c r="B16" i="9"/>
  <c r="B6" i="9" s="1"/>
  <c r="G41" i="9"/>
  <c r="G43" i="9"/>
  <c r="G40" i="9"/>
  <c r="G42" i="9"/>
  <c r="G48" i="9"/>
  <c r="G45" i="9"/>
  <c r="G47" i="9"/>
  <c r="G44" i="9"/>
  <c r="B14" i="9" l="1"/>
  <c r="B13" i="9"/>
  <c r="B19" i="9" l="1"/>
  <c r="B8" i="9" s="1"/>
  <c r="B9" i="9" s="1"/>
  <c r="B12" i="9" s="1"/>
  <c r="B12" i="15"/>
  <c r="B5" i="10"/>
  <c r="B30" i="15" l="1"/>
  <c r="G30" i="15"/>
  <c r="D30" i="15"/>
  <c r="B9" i="15"/>
  <c r="B10" i="9"/>
  <c r="G32" i="15" l="1"/>
  <c r="D32" i="15"/>
  <c r="B32" i="15"/>
  <c r="G42" i="15"/>
  <c r="D42" i="15"/>
  <c r="D37" i="15" s="1"/>
  <c r="B42" i="15"/>
  <c r="B46" i="15"/>
  <c r="B6" i="10"/>
  <c r="B3" i="10" s="1"/>
  <c r="B48" i="15" l="1"/>
  <c r="B65" i="15"/>
  <c r="B62" i="15" s="1"/>
  <c r="B71" i="15" s="1"/>
  <c r="B37" i="15"/>
  <c r="B50" i="15" s="1"/>
  <c r="D50" i="15"/>
  <c r="G48" i="15"/>
  <c r="D48" i="15"/>
  <c r="D65" i="15"/>
  <c r="B17" i="10"/>
  <c r="B15" i="10" s="1"/>
  <c r="B13" i="10"/>
  <c r="B9" i="10" s="1"/>
  <c r="D62" i="15" l="1"/>
  <c r="D71" i="15" s="1"/>
  <c r="G65" i="15"/>
  <c r="C1" i="12"/>
  <c r="H29" i="12" s="1"/>
  <c r="B22" i="10"/>
  <c r="B19" i="15"/>
  <c r="FO61" i="8"/>
  <c r="GC61" i="8"/>
  <c r="GG61" i="8"/>
  <c r="FU61" i="8"/>
  <c r="FZ61" i="8"/>
  <c r="GJ61" i="8"/>
  <c r="GA61" i="8"/>
  <c r="GF61" i="8"/>
  <c r="FN61" i="8"/>
  <c r="GK61" i="8"/>
  <c r="GD61" i="8"/>
  <c r="FV61" i="8"/>
  <c r="FS61" i="8"/>
  <c r="FW61" i="8"/>
  <c r="FR61" i="8"/>
  <c r="FY61" i="8"/>
  <c r="FT61" i="8"/>
  <c r="FM61" i="8"/>
  <c r="GB61" i="8"/>
  <c r="GH61" i="8"/>
  <c r="FP61" i="8"/>
  <c r="GI61" i="8"/>
  <c r="GE61" i="8"/>
  <c r="FQ61" i="8"/>
  <c r="GM61" i="8"/>
  <c r="FL61" i="8"/>
  <c r="GL61" i="8"/>
  <c r="FX61" i="8"/>
  <c r="B24" i="10"/>
  <c r="G62" i="15" l="1"/>
  <c r="G71" i="15" s="1"/>
  <c r="M17" i="12"/>
  <c r="M15" i="12" s="1"/>
  <c r="O15" i="12" s="1"/>
  <c r="M13" i="12"/>
  <c r="M11" i="12" s="1"/>
  <c r="O11" i="12" s="1"/>
  <c r="M25" i="12"/>
  <c r="M24" i="12" s="1"/>
  <c r="O24" i="12" s="1"/>
  <c r="C41" i="12"/>
  <c r="C40" i="12" s="1"/>
  <c r="E40" i="12" s="1"/>
  <c r="C25" i="12"/>
  <c r="C23" i="12" s="1"/>
  <c r="E23" i="12" s="1"/>
  <c r="M9" i="12"/>
  <c r="M8" i="12" s="1"/>
  <c r="O8" i="12" s="1"/>
  <c r="C9" i="12"/>
  <c r="E9" i="12" s="1"/>
  <c r="M37" i="12"/>
  <c r="M35" i="12" s="1"/>
  <c r="O35" i="12" s="1"/>
  <c r="H9" i="12"/>
  <c r="J9" i="12" s="1"/>
  <c r="M5" i="12"/>
  <c r="M4" i="12" s="1"/>
  <c r="O4" i="12" s="1"/>
  <c r="C13" i="12"/>
  <c r="C11" i="12" s="1"/>
  <c r="E11" i="12" s="1"/>
  <c r="H13" i="12"/>
  <c r="H12" i="12" s="1"/>
  <c r="J12" i="12" s="1"/>
  <c r="H25" i="12"/>
  <c r="H24" i="12" s="1"/>
  <c r="J24" i="12" s="1"/>
  <c r="M29" i="12"/>
  <c r="M27" i="12" s="1"/>
  <c r="O27" i="12" s="1"/>
  <c r="H41" i="12"/>
  <c r="H40" i="12" s="1"/>
  <c r="J40" i="12" s="1"/>
  <c r="C29" i="12"/>
  <c r="E29" i="12" s="1"/>
  <c r="C5" i="12"/>
  <c r="C3" i="12" s="1"/>
  <c r="E3" i="12" s="1"/>
  <c r="H5" i="12"/>
  <c r="H4" i="12" s="1"/>
  <c r="J4" i="12" s="1"/>
  <c r="H21" i="12"/>
  <c r="H19" i="12" s="1"/>
  <c r="J19" i="12" s="1"/>
  <c r="M41" i="12"/>
  <c r="M39" i="12" s="1"/>
  <c r="O39" i="12" s="1"/>
  <c r="M33" i="12"/>
  <c r="M32" i="12" s="1"/>
  <c r="O32" i="12" s="1"/>
  <c r="C37" i="12"/>
  <c r="E37" i="12" s="1"/>
  <c r="H37" i="12"/>
  <c r="J37" i="12" s="1"/>
  <c r="C17" i="12"/>
  <c r="C16" i="12" s="1"/>
  <c r="E16" i="12" s="1"/>
  <c r="C21" i="12"/>
  <c r="C20" i="12" s="1"/>
  <c r="E20" i="12" s="1"/>
  <c r="M21" i="12"/>
  <c r="M20" i="12" s="1"/>
  <c r="O20" i="12" s="1"/>
  <c r="H33" i="12"/>
  <c r="H31" i="12" s="1"/>
  <c r="J31" i="12" s="1"/>
  <c r="H17" i="12"/>
  <c r="H16" i="12" s="1"/>
  <c r="J16" i="12" s="1"/>
  <c r="C33" i="12"/>
  <c r="C32" i="12" s="1"/>
  <c r="E32" i="12" s="1"/>
  <c r="H27" i="12"/>
  <c r="J27" i="12" s="1"/>
  <c r="H28" i="12"/>
  <c r="J28" i="12" s="1"/>
  <c r="J29" i="12"/>
  <c r="B15" i="15"/>
  <c r="B63" i="8" s="1"/>
  <c r="B64" i="8" s="1"/>
  <c r="B20" i="10"/>
  <c r="B23" i="16"/>
  <c r="B26" i="16" s="1"/>
  <c r="O13" i="12" l="1"/>
  <c r="O25" i="12"/>
  <c r="M19" i="12"/>
  <c r="O19" i="12" s="1"/>
  <c r="M12" i="12"/>
  <c r="O12" i="12" s="1"/>
  <c r="M3" i="12"/>
  <c r="O3" i="12" s="1"/>
  <c r="E21" i="12"/>
  <c r="J5" i="12"/>
  <c r="O21" i="12"/>
  <c r="C12" i="12"/>
  <c r="E12" i="12" s="1"/>
  <c r="O29" i="12"/>
  <c r="C8" i="12"/>
  <c r="E8" i="12" s="1"/>
  <c r="C35" i="12"/>
  <c r="E35" i="12" s="1"/>
  <c r="C36" i="12"/>
  <c r="E36" i="12" s="1"/>
  <c r="J33" i="12"/>
  <c r="H20" i="12"/>
  <c r="J20" i="12" s="1"/>
  <c r="H32" i="12"/>
  <c r="J32" i="12" s="1"/>
  <c r="M23" i="12"/>
  <c r="O23" i="12" s="1"/>
  <c r="H39" i="12"/>
  <c r="J39" i="12" s="1"/>
  <c r="O9" i="12"/>
  <c r="M28" i="12"/>
  <c r="O28" i="12" s="1"/>
  <c r="M7" i="12"/>
  <c r="O7" i="12" s="1"/>
  <c r="O5" i="12"/>
  <c r="H3" i="12"/>
  <c r="J3" i="12" s="1"/>
  <c r="M40" i="12"/>
  <c r="O40" i="12" s="1"/>
  <c r="H23" i="12"/>
  <c r="J23" i="12" s="1"/>
  <c r="E25" i="12"/>
  <c r="H11" i="12"/>
  <c r="J11" i="12" s="1"/>
  <c r="O33" i="12"/>
  <c r="O37" i="12"/>
  <c r="E41" i="12"/>
  <c r="J25" i="12"/>
  <c r="C31" i="12"/>
  <c r="E31" i="12" s="1"/>
  <c r="C7" i="12"/>
  <c r="E7" i="12" s="1"/>
  <c r="J13" i="12"/>
  <c r="E33" i="12"/>
  <c r="C24" i="12"/>
  <c r="E24" i="12" s="1"/>
  <c r="M31" i="12"/>
  <c r="O31" i="12" s="1"/>
  <c r="H36" i="12"/>
  <c r="J36" i="12" s="1"/>
  <c r="E13" i="12"/>
  <c r="C27" i="12"/>
  <c r="E27" i="12" s="1"/>
  <c r="C28" i="12"/>
  <c r="E28" i="12" s="1"/>
  <c r="E17" i="12"/>
  <c r="H35" i="12"/>
  <c r="J35" i="12" s="1"/>
  <c r="M36" i="12"/>
  <c r="O36" i="12" s="1"/>
  <c r="J21" i="12"/>
  <c r="J17" i="12"/>
  <c r="O17" i="12"/>
  <c r="H15" i="12"/>
  <c r="J15" i="12" s="1"/>
  <c r="C15" i="12"/>
  <c r="E15" i="12" s="1"/>
  <c r="C39" i="12"/>
  <c r="E39" i="12" s="1"/>
  <c r="M16" i="12"/>
  <c r="O16" i="12" s="1"/>
  <c r="C19" i="12"/>
  <c r="E19" i="12" s="1"/>
  <c r="H8" i="12"/>
  <c r="J8" i="12" s="1"/>
  <c r="C4" i="12"/>
  <c r="E4" i="12" s="1"/>
  <c r="O41" i="12"/>
  <c r="J41" i="12"/>
  <c r="H7" i="12"/>
  <c r="J7" i="12" s="1"/>
  <c r="E5" i="12"/>
  <c r="B55" i="15"/>
  <c r="B52" i="15" s="1"/>
  <c r="D55" i="15"/>
  <c r="D52" i="15" s="1"/>
  <c r="G45" i="15"/>
  <c r="G37" i="15" s="1"/>
  <c r="G33" i="15"/>
  <c r="G50" i="15" l="1"/>
  <c r="G55" i="15" l="1"/>
  <c r="G52" i="15" s="1"/>
</calcChain>
</file>

<file path=xl/sharedStrings.xml><?xml version="1.0" encoding="utf-8"?>
<sst xmlns="http://schemas.openxmlformats.org/spreadsheetml/2006/main" count="665" uniqueCount="201">
  <si>
    <t>Re</t>
  </si>
  <si>
    <t>Fs</t>
  </si>
  <si>
    <t>Qts</t>
  </si>
  <si>
    <t>Sd</t>
  </si>
  <si>
    <t>Dr</t>
  </si>
  <si>
    <t>Dz</t>
  </si>
  <si>
    <t>Leffectif</t>
  </si>
  <si>
    <t>Qms</t>
  </si>
  <si>
    <t>Qes</t>
  </si>
  <si>
    <t>Hz</t>
  </si>
  <si>
    <t>L</t>
  </si>
  <si>
    <t>Ohm</t>
  </si>
  <si>
    <t>m²</t>
  </si>
  <si>
    <t>ρ</t>
  </si>
  <si>
    <t>m</t>
  </si>
  <si>
    <t>m/s</t>
  </si>
  <si>
    <r>
      <t>kg/m</t>
    </r>
    <r>
      <rPr>
        <sz val="10"/>
        <rFont val="Calibri"/>
        <family val="2"/>
      </rPr>
      <t>³</t>
    </r>
  </si>
  <si>
    <t>N/A</t>
  </si>
  <si>
    <t>S0/Sd</t>
  </si>
  <si>
    <t>S0</t>
  </si>
  <si>
    <t>cm²</t>
  </si>
  <si>
    <t>cm</t>
  </si>
  <si>
    <t>Longueur</t>
  </si>
  <si>
    <t>Volume</t>
  </si>
  <si>
    <t>Offset</t>
  </si>
  <si>
    <t>l</t>
  </si>
  <si>
    <t>Calcul enceinte 1/4 d'onde</t>
  </si>
  <si>
    <t>D (axe HP / parois interne)</t>
  </si>
  <si>
    <t>Vas</t>
  </si>
  <si>
    <t>Mms</t>
  </si>
  <si>
    <t>g</t>
  </si>
  <si>
    <t>C</t>
  </si>
  <si>
    <t>Xmax</t>
  </si>
  <si>
    <t>mm</t>
  </si>
  <si>
    <t>Constantes</t>
  </si>
  <si>
    <t>Cms</t>
  </si>
  <si>
    <t>BL</t>
  </si>
  <si>
    <t>Fb</t>
  </si>
  <si>
    <t>Vb</t>
  </si>
  <si>
    <t>mm/N</t>
  </si>
  <si>
    <t>Fs/Qts</t>
  </si>
  <si>
    <t>Se</t>
  </si>
  <si>
    <t>R</t>
  </si>
  <si>
    <t>dBa</t>
  </si>
  <si>
    <t>P</t>
  </si>
  <si>
    <t>Fc</t>
  </si>
  <si>
    <t>Fc-3</t>
  </si>
  <si>
    <t>Déport axe HP</t>
  </si>
  <si>
    <t>Qtc</t>
  </si>
  <si>
    <t>Volume occupé dans l'enceinte</t>
  </si>
  <si>
    <t>Mmrf</t>
  </si>
  <si>
    <t>Mmd</t>
  </si>
  <si>
    <t>Mmsb</t>
  </si>
  <si>
    <t>Fsb</t>
  </si>
  <si>
    <t>Qesb</t>
  </si>
  <si>
    <t>Qtsb</t>
  </si>
  <si>
    <t>Fsb/Qtsb</t>
  </si>
  <si>
    <t>Vc</t>
  </si>
  <si>
    <t>Mmra</t>
  </si>
  <si>
    <t>SL</t>
  </si>
  <si>
    <t>Volume interne</t>
  </si>
  <si>
    <t>Volume d'amortissement</t>
  </si>
  <si>
    <t>dB</t>
  </si>
  <si>
    <t>dB/2.83v/m</t>
  </si>
  <si>
    <t>Qmsb</t>
  </si>
  <si>
    <t>Re (HP)</t>
  </si>
  <si>
    <t>Rg (Ampli)</t>
  </si>
  <si>
    <t>Rf (Filtres)</t>
  </si>
  <si>
    <t>Distance</t>
  </si>
  <si>
    <t>Nb évent</t>
  </si>
  <si>
    <t>Dth (axe HP / parois interne)</t>
  </si>
  <si>
    <t>N</t>
  </si>
  <si>
    <t>Se réel</t>
  </si>
  <si>
    <t>Vd</t>
  </si>
  <si>
    <t>VolU</t>
  </si>
  <si>
    <t>Ep caisse</t>
  </si>
  <si>
    <t>H</t>
  </si>
  <si>
    <t>W</t>
  </si>
  <si>
    <t>.</t>
  </si>
  <si>
    <t>Diamètre HP</t>
  </si>
  <si>
    <t>"</t>
  </si>
  <si>
    <t>F-3</t>
  </si>
  <si>
    <t>A</t>
  </si>
  <si>
    <t>Valeur Th à corriger après itération</t>
  </si>
  <si>
    <t>SPL Max</t>
  </si>
  <si>
    <t>SPL évent</t>
  </si>
  <si>
    <t>Dist évent/HP</t>
  </si>
  <si>
    <t>Rapport S/B évent (&gt;60)</t>
  </si>
  <si>
    <t>F résonnance évent</t>
  </si>
  <si>
    <t>Le</t>
  </si>
  <si>
    <t>Nb HP</t>
  </si>
  <si>
    <t>Branchement</t>
  </si>
  <si>
    <t>SL/SO</t>
  </si>
  <si>
    <t>Attenuation Th. (SONO)</t>
  </si>
  <si>
    <t>SL = Sd/2 pour sub</t>
  </si>
  <si>
    <t>Rms</t>
  </si>
  <si>
    <t>kg/s</t>
  </si>
  <si>
    <t>Vol HP</t>
  </si>
  <si>
    <t>Vol Event</t>
  </si>
  <si>
    <t>fx xmax</t>
  </si>
  <si>
    <t>Volume utile</t>
  </si>
  <si>
    <t>Pu AES</t>
  </si>
  <si>
    <t>Pt AES</t>
  </si>
  <si>
    <t>Re' (HP)</t>
  </si>
  <si>
    <t>Vas'</t>
  </si>
  <si>
    <t>Sd'</t>
  </si>
  <si>
    <t>Entre-axe</t>
  </si>
  <si>
    <t>Rendb HP seul</t>
  </si>
  <si>
    <t>Rend HP seul</t>
  </si>
  <si>
    <t>Vérification</t>
  </si>
  <si>
    <t>Constructeur</t>
  </si>
  <si>
    <t>SPL Th. Au point d'écoute</t>
  </si>
  <si>
    <t>Max ±10%</t>
  </si>
  <si>
    <t>Le (unitaire)</t>
  </si>
  <si>
    <t>Ve (viser 17m/s opti)</t>
  </si>
  <si>
    <t>P xmax WinISD</t>
  </si>
  <si>
    <t>dm</t>
  </si>
  <si>
    <t>Pmax U AES</t>
  </si>
  <si>
    <t>Fb manuel (svt WinISD)</t>
  </si>
  <si>
    <t>Vb manuel</t>
  </si>
  <si>
    <t>Vol HP'</t>
  </si>
  <si>
    <t>Vol HP (dans l'enceinte)</t>
  </si>
  <si>
    <t>Proportion optimale</t>
  </si>
  <si>
    <t>N manuel</t>
  </si>
  <si>
    <t>BL/Mms</t>
  </si>
  <si>
    <t>0.20 &lt; Qts &lt; 0.25 ==&gt; 2 &lt; N &lt; 4
0.25 &lt; Qts &lt; 0.39 ==&gt; 2 &lt; N &lt; 5.7
0.39 &lt; Qts &lt; 0.45 ==&gt; 2.8 &lt; N &lt; 8
0.45 &lt; Qts &lt; 0.52 ==&gt; 5.7 &lt; N &lt; 9.5
0.52 &lt; Qts &lt; 0.60 ==&gt; 8 &lt; N &lt; 11.3
0.60 &lt; Qts &lt; 0.69 ==&gt; 11.3 &lt; N &lt; 13.5</t>
  </si>
  <si>
    <t>Rectangulaire</t>
  </si>
  <si>
    <t>Se/Sd' (PI)</t>
  </si>
  <si>
    <t>Thiele and Small du HP</t>
  </si>
  <si>
    <t>L/H (&lt;10)</t>
  </si>
  <si>
    <t>mH</t>
  </si>
  <si>
    <t>Vol Renfort</t>
  </si>
  <si>
    <t>P xmax UniBox</t>
  </si>
  <si>
    <t>Sens HP seul (V)</t>
  </si>
  <si>
    <t>Sens HP seul (W)</t>
  </si>
  <si>
    <t>dB/1W/m</t>
  </si>
  <si>
    <t>Sensb HP seul (W)</t>
  </si>
  <si>
    <t>Uu AES</t>
  </si>
  <si>
    <t>Iu AES</t>
  </si>
  <si>
    <t>Umax U AES</t>
  </si>
  <si>
    <t>Imax U AES</t>
  </si>
  <si>
    <t>SPL max U (à 1m)</t>
  </si>
  <si>
    <t>SPL U eff. (à 1m)</t>
  </si>
  <si>
    <t>SPL t eff. (à 1m)</t>
  </si>
  <si>
    <t>D ext</t>
  </si>
  <si>
    <t>SPL Max Th. F-3</t>
  </si>
  <si>
    <t>%</t>
  </si>
  <si>
    <t>Fe (coupure haute)</t>
  </si>
  <si>
    <t>THD</t>
  </si>
  <si>
    <t>Attenuation Pt Th. (SONO)</t>
  </si>
  <si>
    <t>Epaisseur bois</t>
  </si>
  <si>
    <t>l (à ép. bois)</t>
  </si>
  <si>
    <t>Vtc</t>
  </si>
  <si>
    <t>Atc</t>
  </si>
  <si>
    <t>Ap1</t>
  </si>
  <si>
    <t>Lpt</t>
  </si>
  <si>
    <t>Lrc</t>
  </si>
  <si>
    <t>Sg (surface gorge)</t>
  </si>
  <si>
    <t>Lg (largeur gorge)</t>
  </si>
  <si>
    <t>Hg (hauteur gorge)</t>
  </si>
  <si>
    <t>Ø cut (plan HP)</t>
  </si>
  <si>
    <t>Ø Ext maxi</t>
  </si>
  <si>
    <t>Ø Cut</t>
  </si>
  <si>
    <t>Arc manuel</t>
  </si>
  <si>
    <t>Arc min (surface bafle)</t>
  </si>
  <si>
    <t>Vrc (volume arrière)</t>
  </si>
  <si>
    <t>Type</t>
  </si>
  <si>
    <t>Clos</t>
  </si>
  <si>
    <t>Ap</t>
  </si>
  <si>
    <t>Htc (profondeur chambre)</t>
  </si>
  <si>
    <t>Ø Membrane</t>
  </si>
  <si>
    <r>
      <t>cm</t>
    </r>
    <r>
      <rPr>
        <sz val="10"/>
        <rFont val="Arial"/>
        <family val="2"/>
      </rPr>
      <t>³</t>
    </r>
  </si>
  <si>
    <t>Volume avant HP</t>
  </si>
  <si>
    <t>Hybrid</t>
  </si>
  <si>
    <t>Horn</t>
  </si>
  <si>
    <t>HP Sono</t>
  </si>
  <si>
    <t>X manuel</t>
  </si>
  <si>
    <t>D équilalent</t>
  </si>
  <si>
    <t>Ep.</t>
  </si>
  <si>
    <t>D int</t>
  </si>
  <si>
    <t>VulNet</t>
  </si>
  <si>
    <t>Sens HP mesurée (bande utile)</t>
  </si>
  <si>
    <t>Attenuation milieu (6:ext;4 salle)</t>
  </si>
  <si>
    <t>dB/d²</t>
  </si>
  <si>
    <t>Sensb HP seul (v)</t>
  </si>
  <si>
    <t>v</t>
  </si>
  <si>
    <t>Fx</t>
  </si>
  <si>
    <t>D int manuel</t>
  </si>
  <si>
    <t>Se Mini (Ap)</t>
  </si>
  <si>
    <t>SPL Manuel (Vair Max)</t>
  </si>
  <si>
    <t>Jaune</t>
  </si>
  <si>
    <t>Valeurs Francis B.</t>
  </si>
  <si>
    <t>Orange</t>
  </si>
  <si>
    <t>Rouge</t>
  </si>
  <si>
    <t>L physique</t>
  </si>
  <si>
    <t>c</t>
  </si>
  <si>
    <t>Non</t>
  </si>
  <si>
    <t>Fx Vair max</t>
  </si>
  <si>
    <t>Parallèle</t>
  </si>
  <si>
    <t>Vol Amortissant (plaque bitume)</t>
  </si>
  <si>
    <t>Vol Abs (Laine, Dacron, …)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</si>
</sst>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64" formatCode="0.0"/>
    <numFmt numFmtId="165" formatCode="0.0000"/>
    <numFmt numFmtId="166" formatCode="0.000"/>
    <numFmt numFmtId="167" formatCode="0.00000"/>
    <numFmt numFmtId="168" formatCode="0.000%"/>
    <numFmt numFmtId="169" formatCode="_(* #,##0.00_);_(* \(#,##0.00\);_(* &quot;-&quot;??_);_(@_)"/>
  </numFmts>
  <fonts count="8" x14ac:knownFonts="1">
    <font>
      <sz val="10"/>
      <name val="Arial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sz val="10"/>
      <name val="Calibri"/>
      <family val="2"/>
    </font>
    <font>
      <sz val="10"/>
      <name val="Arial Unicode MS"/>
      <family val="2"/>
    </font>
    <font>
      <sz val="10"/>
      <name val="Arial"/>
      <family val="2"/>
    </font>
    <font>
      <sz val="11"/>
      <color theme="1"/>
      <name val="Calibri"/>
      <family val="2"/>
    </font>
  </fonts>
  <fills count="8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00B0F0"/>
        <bgColor indexed="64"/>
      </patternFill>
    </fill>
  </fills>
  <borders count="2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4">
    <xf numFmtId="0" fontId="0" fillId="0" borderId="0"/>
    <xf numFmtId="9" fontId="2" fillId="0" borderId="0" applyFont="0" applyFill="0" applyBorder="0" applyAlignment="0" applyProtection="0"/>
    <xf numFmtId="169" fontId="6" fillId="0" borderId="0" applyFont="0" applyFill="0" applyBorder="0" applyAlignment="0" applyProtection="0"/>
    <xf numFmtId="0" fontId="1" fillId="0" borderId="0"/>
  </cellStyleXfs>
  <cellXfs count="119">
    <xf numFmtId="0" fontId="0" fillId="0" borderId="0" xfId="0"/>
    <xf numFmtId="0" fontId="3" fillId="0" borderId="0" xfId="0" applyFont="1"/>
    <xf numFmtId="0" fontId="3" fillId="0" borderId="0" xfId="0" applyFont="1" applyAlignment="1">
      <alignment vertical="center"/>
    </xf>
    <xf numFmtId="0" fontId="0" fillId="0" borderId="0" xfId="0" applyAlignment="1">
      <alignment vertical="center"/>
    </xf>
    <xf numFmtId="166" fontId="0" fillId="0" borderId="0" xfId="0" applyNumberFormat="1" applyAlignment="1">
      <alignment vertical="center"/>
    </xf>
    <xf numFmtId="164" fontId="0" fillId="0" borderId="0" xfId="0" applyNumberFormat="1" applyAlignment="1">
      <alignment vertical="center"/>
    </xf>
    <xf numFmtId="0" fontId="4" fillId="0" borderId="0" xfId="0" applyFont="1" applyAlignment="1">
      <alignment vertical="center"/>
    </xf>
    <xf numFmtId="2" fontId="0" fillId="0" borderId="0" xfId="0" applyNumberFormat="1" applyAlignment="1">
      <alignment vertical="center"/>
    </xf>
    <xf numFmtId="165" fontId="0" fillId="0" borderId="0" xfId="0" applyNumberFormat="1" applyAlignment="1">
      <alignment vertical="center"/>
    </xf>
    <xf numFmtId="0" fontId="0" fillId="0" borderId="0" xfId="0" applyAlignment="1">
      <alignment horizontal="right"/>
    </xf>
    <xf numFmtId="164" fontId="0" fillId="0" borderId="0" xfId="0" applyNumberFormat="1"/>
    <xf numFmtId="166" fontId="0" fillId="0" borderId="0" xfId="0" applyNumberFormat="1"/>
    <xf numFmtId="164" fontId="0" fillId="0" borderId="1" xfId="0" applyNumberFormat="1" applyBorder="1"/>
    <xf numFmtId="1" fontId="0" fillId="0" borderId="1" xfId="0" applyNumberFormat="1" applyBorder="1"/>
    <xf numFmtId="2" fontId="0" fillId="0" borderId="0" xfId="0" applyNumberFormat="1"/>
    <xf numFmtId="167" fontId="0" fillId="0" borderId="0" xfId="0" applyNumberFormat="1" applyAlignment="1">
      <alignment vertical="center"/>
    </xf>
    <xf numFmtId="0" fontId="3" fillId="0" borderId="0" xfId="0" applyFont="1" applyAlignment="1">
      <alignment vertical="center" wrapText="1"/>
    </xf>
    <xf numFmtId="164" fontId="0" fillId="0" borderId="1" xfId="0" applyNumberFormat="1" applyBorder="1" applyAlignment="1">
      <alignment vertical="center"/>
    </xf>
    <xf numFmtId="0" fontId="0" fillId="0" borderId="0" xfId="0" applyAlignment="1">
      <alignment vertical="center" wrapText="1"/>
    </xf>
    <xf numFmtId="166" fontId="0" fillId="3" borderId="0" xfId="0" applyNumberFormat="1" applyFill="1" applyAlignment="1">
      <alignment vertical="center"/>
    </xf>
    <xf numFmtId="164" fontId="0" fillId="3" borderId="0" xfId="0" applyNumberFormat="1" applyFill="1"/>
    <xf numFmtId="1" fontId="0" fillId="0" borderId="0" xfId="0" applyNumberFormat="1"/>
    <xf numFmtId="0" fontId="3" fillId="0" borderId="0" xfId="0" applyFont="1" applyAlignment="1">
      <alignment horizontal="right"/>
    </xf>
    <xf numFmtId="164" fontId="0" fillId="0" borderId="2" xfId="0" applyNumberFormat="1" applyBorder="1" applyAlignment="1">
      <alignment vertical="center"/>
    </xf>
    <xf numFmtId="164" fontId="0" fillId="0" borderId="3" xfId="0" applyNumberFormat="1" applyBorder="1" applyAlignment="1">
      <alignment vertical="center"/>
    </xf>
    <xf numFmtId="0" fontId="0" fillId="0" borderId="1" xfId="0" applyBorder="1" applyAlignment="1">
      <alignment vertical="center"/>
    </xf>
    <xf numFmtId="0" fontId="5" fillId="0" borderId="0" xfId="0" applyFont="1" applyAlignment="1">
      <alignment vertical="center"/>
    </xf>
    <xf numFmtId="0" fontId="0" fillId="0" borderId="0" xfId="0" applyAlignment="1">
      <alignment horizontal="center" vertical="center"/>
    </xf>
    <xf numFmtId="165" fontId="0" fillId="0" borderId="0" xfId="0" applyNumberFormat="1"/>
    <xf numFmtId="2" fontId="0" fillId="3" borderId="0" xfId="0" applyNumberFormat="1" applyFill="1" applyAlignment="1">
      <alignment vertical="center"/>
    </xf>
    <xf numFmtId="166" fontId="0" fillId="4" borderId="0" xfId="0" applyNumberFormat="1" applyFill="1" applyAlignment="1">
      <alignment vertical="center"/>
    </xf>
    <xf numFmtId="0" fontId="2" fillId="0" borderId="0" xfId="0" applyFont="1"/>
    <xf numFmtId="0" fontId="2" fillId="0" borderId="0" xfId="0" applyFont="1" applyAlignment="1">
      <alignment vertical="center"/>
    </xf>
    <xf numFmtId="0" fontId="2" fillId="0" borderId="0" xfId="0" applyFont="1" applyAlignment="1">
      <alignment vertical="center" wrapText="1"/>
    </xf>
    <xf numFmtId="1" fontId="0" fillId="3" borderId="0" xfId="0" applyNumberFormat="1" applyFill="1"/>
    <xf numFmtId="164" fontId="2" fillId="3" borderId="0" xfId="1" applyNumberFormat="1" applyFont="1" applyFill="1" applyAlignment="1">
      <alignment vertical="center"/>
    </xf>
    <xf numFmtId="166" fontId="0" fillId="0" borderId="0" xfId="0" applyNumberFormat="1" applyAlignment="1">
      <alignment horizontal="right"/>
    </xf>
    <xf numFmtId="168" fontId="2" fillId="3" borderId="0" xfId="1" applyNumberFormat="1" applyFont="1" applyFill="1" applyAlignment="1">
      <alignment vertical="center"/>
    </xf>
    <xf numFmtId="168" fontId="2" fillId="0" borderId="0" xfId="1" applyNumberFormat="1" applyFont="1" applyFill="1"/>
    <xf numFmtId="10" fontId="0" fillId="0" borderId="0" xfId="0" applyNumberFormat="1" applyAlignment="1">
      <alignment horizontal="left"/>
    </xf>
    <xf numFmtId="164" fontId="2" fillId="0" borderId="0" xfId="1" applyNumberFormat="1" applyFont="1" applyFill="1" applyAlignment="1">
      <alignment vertical="center"/>
    </xf>
    <xf numFmtId="0" fontId="0" fillId="0" borderId="0" xfId="0" applyAlignment="1">
      <alignment vertical="top" wrapText="1"/>
    </xf>
    <xf numFmtId="164" fontId="2" fillId="0" borderId="0" xfId="0" applyNumberFormat="1" applyFont="1" applyAlignment="1">
      <alignment horizontal="right"/>
    </xf>
    <xf numFmtId="0" fontId="0" fillId="0" borderId="1" xfId="0" applyBorder="1"/>
    <xf numFmtId="0" fontId="0" fillId="0" borderId="4" xfId="0" applyBorder="1"/>
    <xf numFmtId="164" fontId="0" fillId="0" borderId="4" xfId="0" applyNumberFormat="1" applyBorder="1"/>
    <xf numFmtId="0" fontId="3" fillId="0" borderId="4" xfId="0" applyFont="1" applyBorder="1"/>
    <xf numFmtId="164" fontId="2" fillId="0" borderId="0" xfId="0" applyNumberFormat="1" applyFont="1"/>
    <xf numFmtId="2" fontId="0" fillId="0" borderId="1" xfId="0" applyNumberFormat="1" applyBorder="1"/>
    <xf numFmtId="0" fontId="0" fillId="5" borderId="4" xfId="0" applyFill="1" applyBorder="1"/>
    <xf numFmtId="164" fontId="0" fillId="5" borderId="4" xfId="0" applyNumberFormat="1" applyFill="1" applyBorder="1"/>
    <xf numFmtId="0" fontId="3" fillId="5" borderId="4" xfId="0" applyFont="1" applyFill="1" applyBorder="1"/>
    <xf numFmtId="164" fontId="0" fillId="3" borderId="1" xfId="0" applyNumberFormat="1" applyFill="1" applyBorder="1"/>
    <xf numFmtId="9" fontId="0" fillId="0" borderId="0" xfId="1" applyFont="1"/>
    <xf numFmtId="1" fontId="0" fillId="3" borderId="0" xfId="0" applyNumberFormat="1" applyFill="1" applyAlignment="1">
      <alignment vertical="center"/>
    </xf>
    <xf numFmtId="168" fontId="0" fillId="0" borderId="0" xfId="1" applyNumberFormat="1" applyFont="1" applyAlignment="1">
      <alignment horizontal="left"/>
    </xf>
    <xf numFmtId="0" fontId="0" fillId="0" borderId="0" xfId="0" applyAlignment="1">
      <alignment horizontal="left"/>
    </xf>
    <xf numFmtId="168" fontId="0" fillId="3" borderId="0" xfId="1" applyNumberFormat="1" applyFont="1" applyFill="1"/>
    <xf numFmtId="166" fontId="2" fillId="0" borderId="0" xfId="0" applyNumberFormat="1" applyFont="1"/>
    <xf numFmtId="0" fontId="0" fillId="0" borderId="0" xfId="0" applyAlignment="1">
      <alignment horizontal="left" vertical="center"/>
    </xf>
    <xf numFmtId="2" fontId="0" fillId="0" borderId="0" xfId="0" applyNumberFormat="1" applyAlignment="1">
      <alignment horizontal="right"/>
    </xf>
    <xf numFmtId="0" fontId="0" fillId="5" borderId="5" xfId="0" applyFill="1" applyBorder="1"/>
    <xf numFmtId="0" fontId="3" fillId="5" borderId="7" xfId="0" applyFont="1" applyFill="1" applyBorder="1"/>
    <xf numFmtId="0" fontId="0" fillId="5" borderId="8" xfId="0" applyFill="1" applyBorder="1"/>
    <xf numFmtId="0" fontId="3" fillId="5" borderId="9" xfId="0" applyFont="1" applyFill="1" applyBorder="1"/>
    <xf numFmtId="0" fontId="0" fillId="5" borderId="10" xfId="0" applyFill="1" applyBorder="1"/>
    <xf numFmtId="0" fontId="3" fillId="5" borderId="12" xfId="0" applyFont="1" applyFill="1" applyBorder="1"/>
    <xf numFmtId="2" fontId="0" fillId="5" borderId="4" xfId="0" applyNumberFormat="1" applyFill="1" applyBorder="1"/>
    <xf numFmtId="164" fontId="0" fillId="5" borderId="6" xfId="0" applyNumberFormat="1" applyFill="1" applyBorder="1"/>
    <xf numFmtId="164" fontId="0" fillId="5" borderId="11" xfId="0" applyNumberFormat="1" applyFill="1" applyBorder="1"/>
    <xf numFmtId="2" fontId="0" fillId="3" borderId="1" xfId="0" applyNumberFormat="1" applyFill="1" applyBorder="1"/>
    <xf numFmtId="1" fontId="0" fillId="0" borderId="4" xfId="0" applyNumberFormat="1" applyBorder="1"/>
    <xf numFmtId="0" fontId="0" fillId="0" borderId="9" xfId="0" applyBorder="1"/>
    <xf numFmtId="0" fontId="0" fillId="0" borderId="11" xfId="0" applyBorder="1"/>
    <xf numFmtId="0" fontId="0" fillId="0" borderId="12" xfId="0" applyBorder="1"/>
    <xf numFmtId="0" fontId="0" fillId="0" borderId="6" xfId="0" applyBorder="1"/>
    <xf numFmtId="0" fontId="0" fillId="0" borderId="7" xfId="0" applyBorder="1"/>
    <xf numFmtId="0" fontId="0" fillId="0" borderId="16" xfId="0" applyBorder="1"/>
    <xf numFmtId="0" fontId="0" fillId="0" borderId="17" xfId="0" applyBorder="1"/>
    <xf numFmtId="0" fontId="0" fillId="0" borderId="18" xfId="0" applyBorder="1"/>
    <xf numFmtId="0" fontId="0" fillId="0" borderId="19" xfId="0" applyBorder="1"/>
    <xf numFmtId="0" fontId="0" fillId="0" borderId="20" xfId="0" applyBorder="1"/>
    <xf numFmtId="0" fontId="0" fillId="0" borderId="21" xfId="0" applyBorder="1"/>
    <xf numFmtId="0" fontId="0" fillId="2" borderId="15" xfId="0" applyFill="1" applyBorder="1" applyAlignment="1">
      <alignment horizontal="center"/>
    </xf>
    <xf numFmtId="0" fontId="0" fillId="0" borderId="0" xfId="0" applyAlignment="1">
      <alignment horizontal="center"/>
    </xf>
    <xf numFmtId="0" fontId="0" fillId="4" borderId="14" xfId="0" applyFill="1" applyBorder="1" applyAlignment="1">
      <alignment horizontal="center"/>
    </xf>
    <xf numFmtId="0" fontId="0" fillId="6" borderId="13" xfId="0" applyFill="1" applyBorder="1" applyAlignment="1">
      <alignment horizontal="center"/>
    </xf>
    <xf numFmtId="164" fontId="0" fillId="7" borderId="0" xfId="0" applyNumberFormat="1" applyFill="1"/>
    <xf numFmtId="0" fontId="0" fillId="7" borderId="0" xfId="0" applyFill="1"/>
    <xf numFmtId="1" fontId="0" fillId="7" borderId="4" xfId="0" applyNumberFormat="1" applyFill="1" applyBorder="1"/>
    <xf numFmtId="164" fontId="0" fillId="7" borderId="4" xfId="0" applyNumberFormat="1" applyFill="1" applyBorder="1"/>
    <xf numFmtId="1" fontId="0" fillId="7" borderId="0" xfId="0" applyNumberFormat="1" applyFill="1"/>
    <xf numFmtId="166" fontId="0" fillId="7" borderId="0" xfId="0" applyNumberFormat="1" applyFill="1" applyAlignment="1">
      <alignment vertical="center"/>
    </xf>
    <xf numFmtId="0" fontId="0" fillId="7" borderId="0" xfId="0" applyFill="1" applyAlignment="1">
      <alignment vertical="center"/>
    </xf>
    <xf numFmtId="0" fontId="0" fillId="7" borderId="0" xfId="0" applyFill="1" applyAlignment="1">
      <alignment horizontal="right"/>
    </xf>
    <xf numFmtId="0" fontId="0" fillId="7" borderId="0" xfId="0" applyFill="1" applyAlignment="1">
      <alignment horizontal="right" vertical="center"/>
    </xf>
    <xf numFmtId="0" fontId="2" fillId="7" borderId="0" xfId="0" applyFont="1" applyFill="1" applyAlignment="1">
      <alignment horizontal="right" vertical="center"/>
    </xf>
    <xf numFmtId="164" fontId="2" fillId="7" borderId="0" xfId="1" applyNumberFormat="1" applyFont="1" applyFill="1" applyAlignment="1">
      <alignment vertical="center"/>
    </xf>
    <xf numFmtId="166" fontId="0" fillId="7" borderId="0" xfId="0" applyNumberFormat="1" applyFill="1"/>
    <xf numFmtId="0" fontId="7" fillId="0" borderId="0" xfId="0" applyFont="1"/>
    <xf numFmtId="10" fontId="0" fillId="0" borderId="0" xfId="1" applyNumberFormat="1" applyFont="1" applyFill="1"/>
    <xf numFmtId="166" fontId="0" fillId="3" borderId="0" xfId="0" applyNumberFormat="1" applyFill="1" applyAlignment="1">
      <alignment horizontal="right"/>
    </xf>
    <xf numFmtId="166" fontId="2" fillId="3" borderId="0" xfId="0" applyNumberFormat="1" applyFont="1" applyFill="1" applyAlignment="1">
      <alignment horizontal="right"/>
    </xf>
    <xf numFmtId="0" fontId="0" fillId="3" borderId="0" xfId="0" applyFill="1"/>
    <xf numFmtId="0" fontId="0" fillId="3" borderId="0" xfId="0" applyFill="1" applyAlignment="1">
      <alignment horizontal="right"/>
    </xf>
    <xf numFmtId="2" fontId="0" fillId="7" borderId="0" xfId="0" applyNumberFormat="1" applyFill="1"/>
    <xf numFmtId="0" fontId="0" fillId="6" borderId="4" xfId="0" applyFill="1" applyBorder="1" applyAlignment="1">
      <alignment horizontal="center"/>
    </xf>
    <xf numFmtId="0" fontId="0" fillId="4" borderId="4" xfId="0" applyFill="1" applyBorder="1" applyAlignment="1">
      <alignment horizontal="center"/>
    </xf>
    <xf numFmtId="0" fontId="0" fillId="2" borderId="4" xfId="0" applyFill="1" applyBorder="1" applyAlignment="1">
      <alignment horizontal="center"/>
    </xf>
    <xf numFmtId="164" fontId="0" fillId="0" borderId="4" xfId="0" applyNumberFormat="1" applyBorder="1" applyAlignment="1">
      <alignment horizontal="center"/>
    </xf>
    <xf numFmtId="20" fontId="2" fillId="0" borderId="0" xfId="0" applyNumberFormat="1" applyFont="1" applyAlignment="1">
      <alignment horizontal="center"/>
    </xf>
    <xf numFmtId="0" fontId="0" fillId="0" borderId="0" xfId="0" applyAlignment="1">
      <alignment horizontal="center" vertical="top" wrapText="1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0" xfId="0" applyAlignment="1">
      <alignment horizontal="center" vertical="center"/>
    </xf>
    <xf numFmtId="0" fontId="3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0" fillId="5" borderId="0" xfId="0" applyFill="1" applyAlignment="1">
      <alignment horizontal="center"/>
    </xf>
  </cellXfs>
  <cellStyles count="4">
    <cellStyle name="Milliers 2" xfId="2" xr:uid="{00000000-0005-0000-0000-000000000000}"/>
    <cellStyle name="Normal" xfId="0" builtinId="0"/>
    <cellStyle name="Normal 2" xfId="3" xr:uid="{00000000-0005-0000-0000-000002000000}"/>
    <cellStyle name="Pourcentage" xfId="1" builtinId="5"/>
  </cellStyles>
  <dxfs count="15">
    <dxf>
      <fill>
        <patternFill>
          <bgColor rgb="FF92D050"/>
        </patternFill>
      </fill>
    </dxf>
    <dxf>
      <fill>
        <patternFill>
          <bgColor rgb="FFFFFF00"/>
        </patternFill>
      </fill>
    </dxf>
    <dxf>
      <font>
        <color auto="1"/>
      </font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ont>
        <color auto="1"/>
      </font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ont>
        <color auto="1"/>
      </font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FR"/>
              <a:t>Vair (m/s) vs</a:t>
            </a:r>
            <a:r>
              <a:rPr lang="fr-FR" baseline="0"/>
              <a:t> SPL (dB)</a:t>
            </a:r>
            <a:endParaRPr lang="fr-FR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tx>
            <c:strRef>
              <c:f>'BR Simplifié'!$K$2</c:f>
              <c:strCache>
                <c:ptCount val="1"/>
                <c:pt idx="0">
                  <c:v>Rouge</c:v>
                </c:pt>
              </c:strCache>
            </c:strRef>
          </c:tx>
          <c:spPr>
            <a:ln w="28575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rgbClr val="FF0000"/>
              </a:solidFill>
              <a:ln w="9525">
                <a:noFill/>
              </a:ln>
              <a:effectLst/>
            </c:spPr>
          </c:marker>
          <c:trendline>
            <c:spPr>
              <a:ln w="19050" cap="rnd">
                <a:solidFill>
                  <a:srgbClr val="FF0000"/>
                </a:solidFill>
                <a:prstDash val="solid"/>
              </a:ln>
              <a:effectLst/>
            </c:spPr>
            <c:trendlineType val="exp"/>
            <c:dispRSqr val="0"/>
            <c:dispEq val="1"/>
            <c:trendlineLbl>
              <c:numFmt formatCode="#,##0.000000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900" b="0" i="0" u="none" strike="noStrike" kern="1200" baseline="0">
                      <a:solidFill>
                        <a:schemeClr val="tx1">
                          <a:lumMod val="65000"/>
                          <a:lumOff val="3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</c:trendlineLbl>
          </c:trendline>
          <c:xVal>
            <c:numRef>
              <c:f>'BR Simplifié'!$J$3:$J$9</c:f>
              <c:numCache>
                <c:formatCode>General</c:formatCode>
                <c:ptCount val="7"/>
                <c:pt idx="0">
                  <c:v>90</c:v>
                </c:pt>
                <c:pt idx="1">
                  <c:v>95</c:v>
                </c:pt>
                <c:pt idx="2">
                  <c:v>100</c:v>
                </c:pt>
                <c:pt idx="3">
                  <c:v>105</c:v>
                </c:pt>
                <c:pt idx="4">
                  <c:v>110</c:v>
                </c:pt>
                <c:pt idx="5">
                  <c:v>115</c:v>
                </c:pt>
                <c:pt idx="6">
                  <c:v>120</c:v>
                </c:pt>
              </c:numCache>
            </c:numRef>
          </c:xVal>
          <c:yVal>
            <c:numRef>
              <c:f>'BR Simplifié'!$K$3:$K$9</c:f>
              <c:numCache>
                <c:formatCode>General</c:formatCode>
                <c:ptCount val="7"/>
                <c:pt idx="0">
                  <c:v>17</c:v>
                </c:pt>
                <c:pt idx="1">
                  <c:v>20.5</c:v>
                </c:pt>
                <c:pt idx="2">
                  <c:v>24.9</c:v>
                </c:pt>
                <c:pt idx="3">
                  <c:v>30.1</c:v>
                </c:pt>
                <c:pt idx="4">
                  <c:v>36.4</c:v>
                </c:pt>
                <c:pt idx="5">
                  <c:v>44</c:v>
                </c:pt>
                <c:pt idx="6">
                  <c:v>53.2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5CD1-44C1-B2F6-667558720A78}"/>
            </c:ext>
          </c:extLst>
        </c:ser>
        <c:ser>
          <c:idx val="1"/>
          <c:order val="1"/>
          <c:tx>
            <c:strRef>
              <c:f>'BR Simplifié'!$L$2</c:f>
              <c:strCache>
                <c:ptCount val="1"/>
                <c:pt idx="0">
                  <c:v>Orange</c:v>
                </c:pt>
              </c:strCache>
            </c:strRef>
          </c:tx>
          <c:spPr>
            <a:ln w="28575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rgbClr val="FFC000"/>
              </a:solidFill>
              <a:ln w="9525">
                <a:noFill/>
              </a:ln>
              <a:effectLst/>
            </c:spPr>
          </c:marker>
          <c:trendline>
            <c:spPr>
              <a:ln w="19050" cap="rnd">
                <a:solidFill>
                  <a:srgbClr val="FFC000"/>
                </a:solidFill>
                <a:prstDash val="solid"/>
              </a:ln>
              <a:effectLst/>
            </c:spPr>
            <c:trendlineType val="exp"/>
            <c:dispRSqr val="0"/>
            <c:dispEq val="1"/>
            <c:trendlineLbl>
              <c:numFmt formatCode="#,##0.000000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900" b="0" i="0" u="none" strike="noStrike" kern="1200" baseline="0">
                      <a:solidFill>
                        <a:schemeClr val="tx1">
                          <a:lumMod val="65000"/>
                          <a:lumOff val="3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</c:trendlineLbl>
          </c:trendline>
          <c:xVal>
            <c:numRef>
              <c:f>'BR Simplifié'!$J$3:$J$9</c:f>
              <c:numCache>
                <c:formatCode>General</c:formatCode>
                <c:ptCount val="7"/>
                <c:pt idx="0">
                  <c:v>90</c:v>
                </c:pt>
                <c:pt idx="1">
                  <c:v>95</c:v>
                </c:pt>
                <c:pt idx="2">
                  <c:v>100</c:v>
                </c:pt>
                <c:pt idx="3">
                  <c:v>105</c:v>
                </c:pt>
                <c:pt idx="4">
                  <c:v>110</c:v>
                </c:pt>
                <c:pt idx="5">
                  <c:v>115</c:v>
                </c:pt>
                <c:pt idx="6">
                  <c:v>120</c:v>
                </c:pt>
              </c:numCache>
            </c:numRef>
          </c:xVal>
          <c:yVal>
            <c:numRef>
              <c:f>'BR Simplifié'!$L$3:$L$9</c:f>
              <c:numCache>
                <c:formatCode>General</c:formatCode>
                <c:ptCount val="7"/>
                <c:pt idx="0">
                  <c:v>10.1</c:v>
                </c:pt>
                <c:pt idx="1">
                  <c:v>12.3</c:v>
                </c:pt>
                <c:pt idx="2">
                  <c:v>15</c:v>
                </c:pt>
                <c:pt idx="3">
                  <c:v>18.2</c:v>
                </c:pt>
                <c:pt idx="4">
                  <c:v>22.1</c:v>
                </c:pt>
                <c:pt idx="5">
                  <c:v>26.9</c:v>
                </c:pt>
                <c:pt idx="6">
                  <c:v>32.700000000000003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5CD1-44C1-B2F6-667558720A78}"/>
            </c:ext>
          </c:extLst>
        </c:ser>
        <c:ser>
          <c:idx val="2"/>
          <c:order val="2"/>
          <c:tx>
            <c:strRef>
              <c:f>'BR Simplifié'!$M$2</c:f>
              <c:strCache>
                <c:ptCount val="1"/>
                <c:pt idx="0">
                  <c:v>Jaune</c:v>
                </c:pt>
              </c:strCache>
            </c:strRef>
          </c:tx>
          <c:spPr>
            <a:ln w="28575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rgbClr val="FFFF00"/>
              </a:solidFill>
              <a:ln w="9525">
                <a:noFill/>
              </a:ln>
              <a:effectLst/>
            </c:spPr>
          </c:marker>
          <c:trendline>
            <c:spPr>
              <a:ln w="19050" cap="rnd">
                <a:solidFill>
                  <a:srgbClr val="FFFF00"/>
                </a:solidFill>
                <a:prstDash val="solid"/>
              </a:ln>
              <a:effectLst/>
            </c:spPr>
            <c:trendlineType val="exp"/>
            <c:dispRSqr val="0"/>
            <c:dispEq val="1"/>
            <c:trendlineLbl>
              <c:numFmt formatCode="#,##0.000000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900" b="0" i="0" u="none" strike="noStrike" kern="1200" baseline="0">
                      <a:solidFill>
                        <a:schemeClr val="tx1">
                          <a:lumMod val="65000"/>
                          <a:lumOff val="3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</c:trendlineLbl>
          </c:trendline>
          <c:xVal>
            <c:numRef>
              <c:f>'BR Simplifié'!$J$3:$J$9</c:f>
              <c:numCache>
                <c:formatCode>General</c:formatCode>
                <c:ptCount val="7"/>
                <c:pt idx="0">
                  <c:v>90</c:v>
                </c:pt>
                <c:pt idx="1">
                  <c:v>95</c:v>
                </c:pt>
                <c:pt idx="2">
                  <c:v>100</c:v>
                </c:pt>
                <c:pt idx="3">
                  <c:v>105</c:v>
                </c:pt>
                <c:pt idx="4">
                  <c:v>110</c:v>
                </c:pt>
                <c:pt idx="5">
                  <c:v>115</c:v>
                </c:pt>
                <c:pt idx="6">
                  <c:v>120</c:v>
                </c:pt>
              </c:numCache>
            </c:numRef>
          </c:xVal>
          <c:yVal>
            <c:numRef>
              <c:f>'BR Simplifié'!$M$3:$M$9</c:f>
              <c:numCache>
                <c:formatCode>General</c:formatCode>
                <c:ptCount val="7"/>
                <c:pt idx="0">
                  <c:v>5.4</c:v>
                </c:pt>
                <c:pt idx="1">
                  <c:v>6.5</c:v>
                </c:pt>
                <c:pt idx="2">
                  <c:v>7.7</c:v>
                </c:pt>
                <c:pt idx="3">
                  <c:v>9.1999999999999993</c:v>
                </c:pt>
                <c:pt idx="4">
                  <c:v>11</c:v>
                </c:pt>
                <c:pt idx="5">
                  <c:v>13.1</c:v>
                </c:pt>
                <c:pt idx="6">
                  <c:v>15.8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2-5CD1-44C1-B2F6-667558720A7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11373696"/>
        <c:axId val="111379584"/>
      </c:scatterChart>
      <c:valAx>
        <c:axId val="111373696"/>
        <c:scaling>
          <c:orientation val="minMax"/>
          <c:max val="120"/>
          <c:min val="90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11379584"/>
        <c:crosses val="autoZero"/>
        <c:crossBetween val="midCat"/>
      </c:valAx>
      <c:valAx>
        <c:axId val="11137958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11373696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FR"/>
              <a:t>Correction d'extremité en fonction de L/H</a:t>
            </a:r>
          </a:p>
        </c:rich>
      </c:tx>
      <c:layout>
        <c:manualLayout>
          <c:xMode val="edge"/>
          <c:yMode val="edge"/>
          <c:x val="0.12979155730533684"/>
          <c:y val="2.7777777777777776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spPr>
            <a:ln w="28575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poly"/>
            <c:order val="3"/>
            <c:dispRSqr val="0"/>
            <c:dispEq val="1"/>
            <c:trendlineLbl>
              <c:layout>
                <c:manualLayout>
                  <c:x val="0.10833333333333332"/>
                  <c:y val="9.4927456984543593E-2"/>
                </c:manualLayout>
              </c:layout>
              <c:numFmt formatCode="#,##0.0000000000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900" b="0" i="0" u="none" strike="noStrike" kern="1200" baseline="0">
                      <a:solidFill>
                        <a:schemeClr val="tx1">
                          <a:lumMod val="65000"/>
                          <a:lumOff val="3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</c:trendlineLbl>
          </c:trendline>
          <c:xVal>
            <c:numRef>
              <c:f>'BR Simplifié'!$K$41:$K$46</c:f>
              <c:numCache>
                <c:formatCode>General</c:formatCode>
                <c:ptCount val="6"/>
                <c:pt idx="0">
                  <c:v>1</c:v>
                </c:pt>
                <c:pt idx="1">
                  <c:v>3.5</c:v>
                </c:pt>
                <c:pt idx="2">
                  <c:v>7</c:v>
                </c:pt>
                <c:pt idx="3">
                  <c:v>10</c:v>
                </c:pt>
                <c:pt idx="4">
                  <c:v>30</c:v>
                </c:pt>
              </c:numCache>
            </c:numRef>
          </c:xVal>
          <c:yVal>
            <c:numRef>
              <c:f>'BR Simplifié'!$L$41:$L$46</c:f>
              <c:numCache>
                <c:formatCode>General</c:formatCode>
                <c:ptCount val="6"/>
                <c:pt idx="0">
                  <c:v>0.98799999999999999</c:v>
                </c:pt>
                <c:pt idx="1">
                  <c:v>0.9</c:v>
                </c:pt>
                <c:pt idx="2">
                  <c:v>0.8</c:v>
                </c:pt>
                <c:pt idx="3">
                  <c:v>0.74</c:v>
                </c:pt>
                <c:pt idx="4">
                  <c:v>0.57999999999999996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E7A1-48CE-B9D9-2549A785A6F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520693272"/>
        <c:axId val="509918928"/>
      </c:scatterChart>
      <c:valAx>
        <c:axId val="520693272"/>
        <c:scaling>
          <c:logBase val="10"/>
          <c:orientation val="minMax"/>
          <c:min val="1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509918928"/>
        <c:crosses val="autoZero"/>
        <c:crossBetween val="midCat"/>
      </c:valAx>
      <c:valAx>
        <c:axId val="509918928"/>
        <c:scaling>
          <c:orientation val="minMax"/>
          <c:max val="1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520693272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scatterChart>
        <c:scatterStyle val="lineMarker"/>
        <c:varyColors val="0"/>
        <c:ser>
          <c:idx val="0"/>
          <c:order val="0"/>
          <c:spPr>
            <a:ln w="28575">
              <a:noFill/>
            </a:ln>
          </c:spPr>
          <c:trendline>
            <c:trendlineType val="power"/>
            <c:dispRSqr val="0"/>
            <c:dispEq val="1"/>
            <c:trendlineLbl>
              <c:layout>
                <c:manualLayout>
                  <c:x val="-0.37014643590343288"/>
                  <c:y val="4.2873758427255416E-2"/>
                </c:manualLayout>
              </c:layout>
              <c:numFmt formatCode="General" sourceLinked="0"/>
              <c:txPr>
                <a:bodyPr/>
                <a:lstStyle/>
                <a:p>
                  <a:pPr>
                    <a:defRPr sz="1000" b="0" i="0" u="none" strike="noStrike" baseline="0">
                      <a:solidFill>
                        <a:srgbClr val="000000"/>
                      </a:solidFill>
                      <a:latin typeface="Calibri"/>
                      <a:ea typeface="Calibri"/>
                      <a:cs typeface="Calibri"/>
                    </a:defRPr>
                  </a:pPr>
                  <a:endParaRPr lang="fr-FR"/>
                </a:p>
              </c:txPr>
            </c:trendlineLbl>
          </c:trendline>
          <c:xVal>
            <c:numRef>
              <c:f>'1-4 d''onde'!$F$20:$F$25</c:f>
              <c:numCache>
                <c:formatCode>General</c:formatCode>
                <c:ptCount val="6"/>
                <c:pt idx="0">
                  <c:v>0.2</c:v>
                </c:pt>
                <c:pt idx="1">
                  <c:v>0.3</c:v>
                </c:pt>
                <c:pt idx="2">
                  <c:v>0.4</c:v>
                </c:pt>
                <c:pt idx="3">
                  <c:v>0.5</c:v>
                </c:pt>
                <c:pt idx="4">
                  <c:v>0.6</c:v>
                </c:pt>
                <c:pt idx="5">
                  <c:v>0.7</c:v>
                </c:pt>
              </c:numCache>
            </c:numRef>
          </c:xVal>
          <c:yVal>
            <c:numRef>
              <c:f>'1-4 d''onde'!$G$20:$G$25</c:f>
              <c:numCache>
                <c:formatCode>General</c:formatCode>
                <c:ptCount val="6"/>
                <c:pt idx="0">
                  <c:v>0.18579999999999999</c:v>
                </c:pt>
                <c:pt idx="1">
                  <c:v>0.1313</c:v>
                </c:pt>
                <c:pt idx="2">
                  <c:v>9.5000000000000001E-2</c:v>
                </c:pt>
                <c:pt idx="3">
                  <c:v>7.8799999999999995E-2</c:v>
                </c:pt>
                <c:pt idx="4">
                  <c:v>6.88E-2</c:v>
                </c:pt>
                <c:pt idx="5">
                  <c:v>6.25E-2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C0EF-4BC5-9725-549E85B6840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12745472"/>
        <c:axId val="112755456"/>
      </c:scatterChart>
      <c:valAx>
        <c:axId val="112745472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fr-FR"/>
          </a:p>
        </c:txPr>
        <c:crossAx val="112755456"/>
        <c:crosses val="autoZero"/>
        <c:crossBetween val="midCat"/>
      </c:valAx>
      <c:valAx>
        <c:axId val="112755456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fr-FR"/>
          </a:p>
        </c:txPr>
        <c:crossAx val="112745472"/>
        <c:crosses val="autoZero"/>
        <c:crossBetween val="midCat"/>
      </c:valAx>
    </c:plotArea>
    <c:legend>
      <c:legendPos val="r"/>
      <c:overlay val="0"/>
      <c:txPr>
        <a:bodyPr/>
        <a:lstStyle/>
        <a:p>
          <a:pPr>
            <a:defRPr sz="710" b="0" i="0" u="none" strike="noStrike" baseline="0">
              <a:solidFill>
                <a:srgbClr val="000000"/>
              </a:solidFill>
              <a:latin typeface="Calibri"/>
              <a:ea typeface="Calibri"/>
              <a:cs typeface="Calibri"/>
            </a:defRPr>
          </a:pPr>
          <a:endParaRPr lang="fr-FR"/>
        </a:p>
      </c:txPr>
    </c:legend>
    <c:plotVisOnly val="1"/>
    <c:dispBlanksAs val="gap"/>
    <c:showDLblsOverMax val="0"/>
  </c:chart>
  <c:txPr>
    <a:bodyPr/>
    <a:lstStyle/>
    <a:p>
      <a:pPr>
        <a:defRPr sz="1000" b="0" i="0" u="none" strike="noStrike" baseline="0">
          <a:solidFill>
            <a:srgbClr val="000000"/>
          </a:solidFill>
          <a:latin typeface="Calibri"/>
          <a:ea typeface="Calibri"/>
          <a:cs typeface="Calibri"/>
        </a:defRPr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scatterChart>
        <c:scatterStyle val="lineMarker"/>
        <c:varyColors val="0"/>
        <c:ser>
          <c:idx val="0"/>
          <c:order val="0"/>
          <c:tx>
            <c:strRef>
              <c:f>'1-4 d''onde'!$F$2</c:f>
              <c:strCache>
                <c:ptCount val="1"/>
                <c:pt idx="0">
                  <c:v>10</c:v>
                </c:pt>
              </c:strCache>
            </c:strRef>
          </c:tx>
          <c:spPr>
            <a:ln w="28575">
              <a:noFill/>
            </a:ln>
          </c:spPr>
          <c:trendline>
            <c:trendlineType val="poly"/>
            <c:order val="5"/>
            <c:dispRSqr val="0"/>
            <c:dispEq val="0"/>
          </c:trendline>
          <c:xVal>
            <c:numRef>
              <c:f>'1-4 d''onde'!$H$1:$R$1</c:f>
              <c:numCache>
                <c:formatCode>General</c:formatCode>
                <c:ptCount val="11"/>
                <c:pt idx="0">
                  <c:v>20</c:v>
                </c:pt>
                <c:pt idx="1">
                  <c:v>25</c:v>
                </c:pt>
                <c:pt idx="2">
                  <c:v>30</c:v>
                </c:pt>
                <c:pt idx="3">
                  <c:v>35</c:v>
                </c:pt>
                <c:pt idx="4">
                  <c:v>40</c:v>
                </c:pt>
                <c:pt idx="5">
                  <c:v>45</c:v>
                </c:pt>
                <c:pt idx="6">
                  <c:v>50</c:v>
                </c:pt>
                <c:pt idx="7">
                  <c:v>55</c:v>
                </c:pt>
                <c:pt idx="8">
                  <c:v>60</c:v>
                </c:pt>
                <c:pt idx="9">
                  <c:v>65</c:v>
                </c:pt>
                <c:pt idx="10">
                  <c:v>70</c:v>
                </c:pt>
              </c:numCache>
            </c:numRef>
          </c:xVal>
          <c:yVal>
            <c:numRef>
              <c:f>'1-4 d''onde'!$H$2:$R$2</c:f>
              <c:numCache>
                <c:formatCode>0.0</c:formatCode>
                <c:ptCount val="11"/>
                <c:pt idx="0">
                  <c:v>238.8</c:v>
                </c:pt>
                <c:pt idx="1">
                  <c:v>191</c:v>
                </c:pt>
                <c:pt idx="2">
                  <c:v>159.19999999999999</c:v>
                </c:pt>
                <c:pt idx="3">
                  <c:v>136.5</c:v>
                </c:pt>
                <c:pt idx="4">
                  <c:v>119.4</c:v>
                </c:pt>
                <c:pt idx="5">
                  <c:v>106.1</c:v>
                </c:pt>
                <c:pt idx="6">
                  <c:v>95.5</c:v>
                </c:pt>
                <c:pt idx="7">
                  <c:v>86.8</c:v>
                </c:pt>
                <c:pt idx="8">
                  <c:v>79.599999999999994</c:v>
                </c:pt>
                <c:pt idx="9">
                  <c:v>73.5</c:v>
                </c:pt>
                <c:pt idx="10">
                  <c:v>68.2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4D47-443A-8969-69648ADDDA6F}"/>
            </c:ext>
          </c:extLst>
        </c:ser>
        <c:ser>
          <c:idx val="1"/>
          <c:order val="1"/>
          <c:tx>
            <c:strRef>
              <c:f>'1-4 d''onde'!$F$3</c:f>
              <c:strCache>
                <c:ptCount val="1"/>
                <c:pt idx="0">
                  <c:v>5</c:v>
                </c:pt>
              </c:strCache>
            </c:strRef>
          </c:tx>
          <c:spPr>
            <a:ln w="28575">
              <a:noFill/>
            </a:ln>
          </c:spPr>
          <c:trendline>
            <c:trendlineType val="poly"/>
            <c:order val="5"/>
            <c:dispRSqr val="0"/>
            <c:dispEq val="0"/>
          </c:trendline>
          <c:xVal>
            <c:numRef>
              <c:f>'1-4 d''onde'!$H$1:$R$1</c:f>
              <c:numCache>
                <c:formatCode>General</c:formatCode>
                <c:ptCount val="11"/>
                <c:pt idx="0">
                  <c:v>20</c:v>
                </c:pt>
                <c:pt idx="1">
                  <c:v>25</c:v>
                </c:pt>
                <c:pt idx="2">
                  <c:v>30</c:v>
                </c:pt>
                <c:pt idx="3">
                  <c:v>35</c:v>
                </c:pt>
                <c:pt idx="4">
                  <c:v>40</c:v>
                </c:pt>
                <c:pt idx="5">
                  <c:v>45</c:v>
                </c:pt>
                <c:pt idx="6">
                  <c:v>50</c:v>
                </c:pt>
                <c:pt idx="7">
                  <c:v>55</c:v>
                </c:pt>
                <c:pt idx="8">
                  <c:v>60</c:v>
                </c:pt>
                <c:pt idx="9">
                  <c:v>65</c:v>
                </c:pt>
                <c:pt idx="10">
                  <c:v>70</c:v>
                </c:pt>
              </c:numCache>
            </c:numRef>
          </c:xVal>
          <c:yVal>
            <c:numRef>
              <c:f>'1-4 d''onde'!$H$3:$R$3</c:f>
              <c:numCache>
                <c:formatCode>0.0</c:formatCode>
                <c:ptCount val="11"/>
                <c:pt idx="0">
                  <c:v>221.4</c:v>
                </c:pt>
                <c:pt idx="1">
                  <c:v>177.1</c:v>
                </c:pt>
                <c:pt idx="2">
                  <c:v>147.6</c:v>
                </c:pt>
                <c:pt idx="3">
                  <c:v>126.5</c:v>
                </c:pt>
                <c:pt idx="4">
                  <c:v>110.7</c:v>
                </c:pt>
                <c:pt idx="5">
                  <c:v>98.4</c:v>
                </c:pt>
                <c:pt idx="6">
                  <c:v>88.6</c:v>
                </c:pt>
                <c:pt idx="7">
                  <c:v>80.5</c:v>
                </c:pt>
                <c:pt idx="8">
                  <c:v>73.8</c:v>
                </c:pt>
                <c:pt idx="9">
                  <c:v>68.099999999999994</c:v>
                </c:pt>
                <c:pt idx="10">
                  <c:v>63.3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4D47-443A-8969-69648ADDDA6F}"/>
            </c:ext>
          </c:extLst>
        </c:ser>
        <c:ser>
          <c:idx val="2"/>
          <c:order val="2"/>
          <c:tx>
            <c:strRef>
              <c:f>'1-4 d''onde'!$F$4</c:f>
              <c:strCache>
                <c:ptCount val="1"/>
                <c:pt idx="0">
                  <c:v>3</c:v>
                </c:pt>
              </c:strCache>
            </c:strRef>
          </c:tx>
          <c:spPr>
            <a:ln w="28575">
              <a:noFill/>
            </a:ln>
          </c:spPr>
          <c:trendline>
            <c:trendlineType val="poly"/>
            <c:order val="5"/>
            <c:dispRSqr val="0"/>
            <c:dispEq val="0"/>
          </c:trendline>
          <c:xVal>
            <c:numRef>
              <c:f>'1-4 d''onde'!$H$1:$R$1</c:f>
              <c:numCache>
                <c:formatCode>General</c:formatCode>
                <c:ptCount val="11"/>
                <c:pt idx="0">
                  <c:v>20</c:v>
                </c:pt>
                <c:pt idx="1">
                  <c:v>25</c:v>
                </c:pt>
                <c:pt idx="2">
                  <c:v>30</c:v>
                </c:pt>
                <c:pt idx="3">
                  <c:v>35</c:v>
                </c:pt>
                <c:pt idx="4">
                  <c:v>40</c:v>
                </c:pt>
                <c:pt idx="5">
                  <c:v>45</c:v>
                </c:pt>
                <c:pt idx="6">
                  <c:v>50</c:v>
                </c:pt>
                <c:pt idx="7">
                  <c:v>55</c:v>
                </c:pt>
                <c:pt idx="8">
                  <c:v>60</c:v>
                </c:pt>
                <c:pt idx="9">
                  <c:v>65</c:v>
                </c:pt>
                <c:pt idx="10">
                  <c:v>70</c:v>
                </c:pt>
              </c:numCache>
            </c:numRef>
          </c:xVal>
          <c:yVal>
            <c:numRef>
              <c:f>'1-4 d''onde'!$H$4:$R$4</c:f>
              <c:numCache>
                <c:formatCode>0.0</c:formatCode>
                <c:ptCount val="11"/>
                <c:pt idx="0">
                  <c:v>205.7</c:v>
                </c:pt>
                <c:pt idx="1">
                  <c:v>164.6</c:v>
                </c:pt>
                <c:pt idx="2">
                  <c:v>137.1</c:v>
                </c:pt>
                <c:pt idx="3">
                  <c:v>117.5</c:v>
                </c:pt>
                <c:pt idx="4">
                  <c:v>102.9</c:v>
                </c:pt>
                <c:pt idx="5">
                  <c:v>91.4</c:v>
                </c:pt>
                <c:pt idx="6">
                  <c:v>82.3</c:v>
                </c:pt>
                <c:pt idx="7">
                  <c:v>74.8</c:v>
                </c:pt>
                <c:pt idx="8">
                  <c:v>68.599999999999994</c:v>
                </c:pt>
                <c:pt idx="9">
                  <c:v>63.3</c:v>
                </c:pt>
                <c:pt idx="10">
                  <c:v>58.8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2-4D47-443A-8969-69648ADDDA6F}"/>
            </c:ext>
          </c:extLst>
        </c:ser>
        <c:ser>
          <c:idx val="3"/>
          <c:order val="3"/>
          <c:tx>
            <c:strRef>
              <c:f>'1-4 d''onde'!$F$5</c:f>
              <c:strCache>
                <c:ptCount val="1"/>
                <c:pt idx="0">
                  <c:v>2</c:v>
                </c:pt>
              </c:strCache>
            </c:strRef>
          </c:tx>
          <c:spPr>
            <a:ln w="28575">
              <a:noFill/>
            </a:ln>
          </c:spPr>
          <c:trendline>
            <c:trendlineType val="poly"/>
            <c:order val="5"/>
            <c:dispRSqr val="0"/>
            <c:dispEq val="0"/>
          </c:trendline>
          <c:xVal>
            <c:numRef>
              <c:f>'1-4 d''onde'!$H$1:$R$1</c:f>
              <c:numCache>
                <c:formatCode>General</c:formatCode>
                <c:ptCount val="11"/>
                <c:pt idx="0">
                  <c:v>20</c:v>
                </c:pt>
                <c:pt idx="1">
                  <c:v>25</c:v>
                </c:pt>
                <c:pt idx="2">
                  <c:v>30</c:v>
                </c:pt>
                <c:pt idx="3">
                  <c:v>35</c:v>
                </c:pt>
                <c:pt idx="4">
                  <c:v>40</c:v>
                </c:pt>
                <c:pt idx="5">
                  <c:v>45</c:v>
                </c:pt>
                <c:pt idx="6">
                  <c:v>50</c:v>
                </c:pt>
                <c:pt idx="7">
                  <c:v>55</c:v>
                </c:pt>
                <c:pt idx="8">
                  <c:v>60</c:v>
                </c:pt>
                <c:pt idx="9">
                  <c:v>65</c:v>
                </c:pt>
                <c:pt idx="10">
                  <c:v>70</c:v>
                </c:pt>
              </c:numCache>
            </c:numRef>
          </c:xVal>
          <c:yVal>
            <c:numRef>
              <c:f>'1-4 d''onde'!$H$5:$R$5</c:f>
              <c:numCache>
                <c:formatCode>0.0</c:formatCode>
                <c:ptCount val="11"/>
                <c:pt idx="0">
                  <c:v>192.1</c:v>
                </c:pt>
                <c:pt idx="1">
                  <c:v>153.69999999999999</c:v>
                </c:pt>
                <c:pt idx="2">
                  <c:v>128.1</c:v>
                </c:pt>
                <c:pt idx="3">
                  <c:v>109.8</c:v>
                </c:pt>
                <c:pt idx="4">
                  <c:v>96.1</c:v>
                </c:pt>
                <c:pt idx="5">
                  <c:v>85.4</c:v>
                </c:pt>
                <c:pt idx="6">
                  <c:v>76.8</c:v>
                </c:pt>
                <c:pt idx="7">
                  <c:v>69.900000000000006</c:v>
                </c:pt>
                <c:pt idx="8">
                  <c:v>64</c:v>
                </c:pt>
                <c:pt idx="9">
                  <c:v>59.1</c:v>
                </c:pt>
                <c:pt idx="10">
                  <c:v>54.9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3-4D47-443A-8969-69648ADDDA6F}"/>
            </c:ext>
          </c:extLst>
        </c:ser>
        <c:ser>
          <c:idx val="4"/>
          <c:order val="4"/>
          <c:tx>
            <c:strRef>
              <c:f>'1-4 d''onde'!$F$6</c:f>
              <c:strCache>
                <c:ptCount val="1"/>
                <c:pt idx="0">
                  <c:v>1</c:v>
                </c:pt>
              </c:strCache>
            </c:strRef>
          </c:tx>
          <c:spPr>
            <a:ln w="28575">
              <a:noFill/>
            </a:ln>
          </c:spPr>
          <c:trendline>
            <c:trendlineType val="poly"/>
            <c:order val="5"/>
            <c:dispRSqr val="0"/>
            <c:dispEq val="0"/>
          </c:trendline>
          <c:xVal>
            <c:numRef>
              <c:f>'1-4 d''onde'!$H$1:$R$1</c:f>
              <c:numCache>
                <c:formatCode>General</c:formatCode>
                <c:ptCount val="11"/>
                <c:pt idx="0">
                  <c:v>20</c:v>
                </c:pt>
                <c:pt idx="1">
                  <c:v>25</c:v>
                </c:pt>
                <c:pt idx="2">
                  <c:v>30</c:v>
                </c:pt>
                <c:pt idx="3">
                  <c:v>35</c:v>
                </c:pt>
                <c:pt idx="4">
                  <c:v>40</c:v>
                </c:pt>
                <c:pt idx="5">
                  <c:v>45</c:v>
                </c:pt>
                <c:pt idx="6">
                  <c:v>50</c:v>
                </c:pt>
                <c:pt idx="7">
                  <c:v>55</c:v>
                </c:pt>
                <c:pt idx="8">
                  <c:v>60</c:v>
                </c:pt>
                <c:pt idx="9">
                  <c:v>65</c:v>
                </c:pt>
                <c:pt idx="10">
                  <c:v>70</c:v>
                </c:pt>
              </c:numCache>
            </c:numRef>
          </c:xVal>
          <c:yVal>
            <c:numRef>
              <c:f>'1-4 d''onde'!$H$6:$R$6</c:f>
              <c:numCache>
                <c:formatCode>0.0</c:formatCode>
                <c:ptCount val="11"/>
                <c:pt idx="0">
                  <c:v>168</c:v>
                </c:pt>
                <c:pt idx="1">
                  <c:v>134.4</c:v>
                </c:pt>
                <c:pt idx="2">
                  <c:v>112</c:v>
                </c:pt>
                <c:pt idx="3">
                  <c:v>96</c:v>
                </c:pt>
                <c:pt idx="4">
                  <c:v>84</c:v>
                </c:pt>
                <c:pt idx="5">
                  <c:v>74.7</c:v>
                </c:pt>
                <c:pt idx="6">
                  <c:v>67.2</c:v>
                </c:pt>
                <c:pt idx="7">
                  <c:v>61.1</c:v>
                </c:pt>
                <c:pt idx="8">
                  <c:v>56</c:v>
                </c:pt>
                <c:pt idx="9">
                  <c:v>51.7</c:v>
                </c:pt>
                <c:pt idx="10">
                  <c:v>48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4-4D47-443A-8969-69648ADDDA6F}"/>
            </c:ext>
          </c:extLst>
        </c:ser>
        <c:ser>
          <c:idx val="5"/>
          <c:order val="5"/>
          <c:tx>
            <c:strRef>
              <c:f>'1-4 d''onde'!$F$7</c:f>
              <c:strCache>
                <c:ptCount val="1"/>
                <c:pt idx="0">
                  <c:v>0.5</c:v>
                </c:pt>
              </c:strCache>
            </c:strRef>
          </c:tx>
          <c:spPr>
            <a:ln w="28575">
              <a:noFill/>
            </a:ln>
          </c:spPr>
          <c:trendline>
            <c:trendlineType val="poly"/>
            <c:order val="5"/>
            <c:dispRSqr val="0"/>
            <c:dispEq val="0"/>
          </c:trendline>
          <c:xVal>
            <c:numRef>
              <c:f>'1-4 d''onde'!$H$1:$R$1</c:f>
              <c:numCache>
                <c:formatCode>General</c:formatCode>
                <c:ptCount val="11"/>
                <c:pt idx="0">
                  <c:v>20</c:v>
                </c:pt>
                <c:pt idx="1">
                  <c:v>25</c:v>
                </c:pt>
                <c:pt idx="2">
                  <c:v>30</c:v>
                </c:pt>
                <c:pt idx="3">
                  <c:v>35</c:v>
                </c:pt>
                <c:pt idx="4">
                  <c:v>40</c:v>
                </c:pt>
                <c:pt idx="5">
                  <c:v>45</c:v>
                </c:pt>
                <c:pt idx="6">
                  <c:v>50</c:v>
                </c:pt>
                <c:pt idx="7">
                  <c:v>55</c:v>
                </c:pt>
                <c:pt idx="8">
                  <c:v>60</c:v>
                </c:pt>
                <c:pt idx="9">
                  <c:v>65</c:v>
                </c:pt>
                <c:pt idx="10">
                  <c:v>70</c:v>
                </c:pt>
              </c:numCache>
            </c:numRef>
          </c:xVal>
          <c:yVal>
            <c:numRef>
              <c:f>'1-4 d''onde'!$H$7:$R$7</c:f>
              <c:numCache>
                <c:formatCode>0.0</c:formatCode>
                <c:ptCount val="11"/>
                <c:pt idx="0">
                  <c:v>145.5</c:v>
                </c:pt>
                <c:pt idx="1">
                  <c:v>116.4</c:v>
                </c:pt>
                <c:pt idx="2">
                  <c:v>97</c:v>
                </c:pt>
                <c:pt idx="3">
                  <c:v>83.1</c:v>
                </c:pt>
                <c:pt idx="4">
                  <c:v>72.8</c:v>
                </c:pt>
                <c:pt idx="5">
                  <c:v>64.7</c:v>
                </c:pt>
                <c:pt idx="6">
                  <c:v>58.2</c:v>
                </c:pt>
                <c:pt idx="7">
                  <c:v>52.9</c:v>
                </c:pt>
                <c:pt idx="8">
                  <c:v>48.5</c:v>
                </c:pt>
                <c:pt idx="9">
                  <c:v>44.8</c:v>
                </c:pt>
                <c:pt idx="10">
                  <c:v>41.6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5-4D47-443A-8969-69648ADDDA6F}"/>
            </c:ext>
          </c:extLst>
        </c:ser>
        <c:ser>
          <c:idx val="6"/>
          <c:order val="6"/>
          <c:tx>
            <c:strRef>
              <c:f>'1-4 d''onde'!$F$8</c:f>
              <c:strCache>
                <c:ptCount val="1"/>
                <c:pt idx="0">
                  <c:v>0.333</c:v>
                </c:pt>
              </c:strCache>
            </c:strRef>
          </c:tx>
          <c:spPr>
            <a:ln w="28575">
              <a:noFill/>
            </a:ln>
          </c:spPr>
          <c:trendline>
            <c:trendlineType val="poly"/>
            <c:order val="5"/>
            <c:dispRSqr val="0"/>
            <c:dispEq val="0"/>
          </c:trendline>
          <c:xVal>
            <c:numRef>
              <c:f>'1-4 d''onde'!$H$1:$R$1</c:f>
              <c:numCache>
                <c:formatCode>General</c:formatCode>
                <c:ptCount val="11"/>
                <c:pt idx="0">
                  <c:v>20</c:v>
                </c:pt>
                <c:pt idx="1">
                  <c:v>25</c:v>
                </c:pt>
                <c:pt idx="2">
                  <c:v>30</c:v>
                </c:pt>
                <c:pt idx="3">
                  <c:v>35</c:v>
                </c:pt>
                <c:pt idx="4">
                  <c:v>40</c:v>
                </c:pt>
                <c:pt idx="5">
                  <c:v>45</c:v>
                </c:pt>
                <c:pt idx="6">
                  <c:v>50</c:v>
                </c:pt>
                <c:pt idx="7">
                  <c:v>55</c:v>
                </c:pt>
                <c:pt idx="8">
                  <c:v>60</c:v>
                </c:pt>
                <c:pt idx="9">
                  <c:v>65</c:v>
                </c:pt>
                <c:pt idx="10">
                  <c:v>70</c:v>
                </c:pt>
              </c:numCache>
            </c:numRef>
          </c:xVal>
          <c:yVal>
            <c:numRef>
              <c:f>'1-4 d''onde'!$H$8:$R$8</c:f>
              <c:numCache>
                <c:formatCode>0.0</c:formatCode>
                <c:ptCount val="11"/>
                <c:pt idx="0">
                  <c:v>133.5</c:v>
                </c:pt>
                <c:pt idx="1">
                  <c:v>106.8</c:v>
                </c:pt>
                <c:pt idx="2">
                  <c:v>89</c:v>
                </c:pt>
                <c:pt idx="3">
                  <c:v>76.3</c:v>
                </c:pt>
                <c:pt idx="4">
                  <c:v>66.8</c:v>
                </c:pt>
                <c:pt idx="5">
                  <c:v>59.3</c:v>
                </c:pt>
                <c:pt idx="6">
                  <c:v>53.4</c:v>
                </c:pt>
                <c:pt idx="7">
                  <c:v>48.5</c:v>
                </c:pt>
                <c:pt idx="8">
                  <c:v>44.5</c:v>
                </c:pt>
                <c:pt idx="9">
                  <c:v>41.1</c:v>
                </c:pt>
                <c:pt idx="10">
                  <c:v>38.1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6-4D47-443A-8969-69648ADDDA6F}"/>
            </c:ext>
          </c:extLst>
        </c:ser>
        <c:ser>
          <c:idx val="7"/>
          <c:order val="7"/>
          <c:tx>
            <c:strRef>
              <c:f>'1-4 d''onde'!$F$9</c:f>
              <c:strCache>
                <c:ptCount val="1"/>
                <c:pt idx="0">
                  <c:v>0.2</c:v>
                </c:pt>
              </c:strCache>
            </c:strRef>
          </c:tx>
          <c:spPr>
            <a:ln w="28575">
              <a:noFill/>
            </a:ln>
          </c:spPr>
          <c:trendline>
            <c:trendlineType val="poly"/>
            <c:order val="5"/>
            <c:dispRSqr val="0"/>
            <c:dispEq val="0"/>
          </c:trendline>
          <c:xVal>
            <c:numRef>
              <c:f>'1-4 d''onde'!$H$1:$R$1</c:f>
              <c:numCache>
                <c:formatCode>General</c:formatCode>
                <c:ptCount val="11"/>
                <c:pt idx="0">
                  <c:v>20</c:v>
                </c:pt>
                <c:pt idx="1">
                  <c:v>25</c:v>
                </c:pt>
                <c:pt idx="2">
                  <c:v>30</c:v>
                </c:pt>
                <c:pt idx="3">
                  <c:v>35</c:v>
                </c:pt>
                <c:pt idx="4">
                  <c:v>40</c:v>
                </c:pt>
                <c:pt idx="5">
                  <c:v>45</c:v>
                </c:pt>
                <c:pt idx="6">
                  <c:v>50</c:v>
                </c:pt>
                <c:pt idx="7">
                  <c:v>55</c:v>
                </c:pt>
                <c:pt idx="8">
                  <c:v>60</c:v>
                </c:pt>
                <c:pt idx="9">
                  <c:v>65</c:v>
                </c:pt>
                <c:pt idx="10">
                  <c:v>70</c:v>
                </c:pt>
              </c:numCache>
            </c:numRef>
          </c:xVal>
          <c:yVal>
            <c:numRef>
              <c:f>'1-4 d''onde'!$H$9:$R$9</c:f>
              <c:numCache>
                <c:formatCode>0.0</c:formatCode>
                <c:ptCount val="11"/>
                <c:pt idx="0">
                  <c:v>119.9</c:v>
                </c:pt>
                <c:pt idx="1">
                  <c:v>95.9</c:v>
                </c:pt>
                <c:pt idx="2">
                  <c:v>79.900000000000006</c:v>
                </c:pt>
                <c:pt idx="3">
                  <c:v>68.5</c:v>
                </c:pt>
                <c:pt idx="4">
                  <c:v>60</c:v>
                </c:pt>
                <c:pt idx="5">
                  <c:v>53.3</c:v>
                </c:pt>
                <c:pt idx="6">
                  <c:v>48</c:v>
                </c:pt>
                <c:pt idx="7">
                  <c:v>43.6</c:v>
                </c:pt>
                <c:pt idx="8">
                  <c:v>40</c:v>
                </c:pt>
                <c:pt idx="9">
                  <c:v>36.9</c:v>
                </c:pt>
                <c:pt idx="10">
                  <c:v>34.299999999999997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7-4D47-443A-8969-69648ADDDA6F}"/>
            </c:ext>
          </c:extLst>
        </c:ser>
        <c:ser>
          <c:idx val="8"/>
          <c:order val="8"/>
          <c:tx>
            <c:strRef>
              <c:f>'1-4 d''onde'!$F$10</c:f>
              <c:strCache>
                <c:ptCount val="1"/>
                <c:pt idx="0">
                  <c:v>0.1</c:v>
                </c:pt>
              </c:strCache>
            </c:strRef>
          </c:tx>
          <c:spPr>
            <a:ln w="28575">
              <a:noFill/>
            </a:ln>
          </c:spPr>
          <c:trendline>
            <c:trendlineType val="poly"/>
            <c:order val="5"/>
            <c:dispRSqr val="0"/>
            <c:dispEq val="0"/>
          </c:trendline>
          <c:xVal>
            <c:numRef>
              <c:f>'1-4 d''onde'!$H$1:$R$1</c:f>
              <c:numCache>
                <c:formatCode>General</c:formatCode>
                <c:ptCount val="11"/>
                <c:pt idx="0">
                  <c:v>20</c:v>
                </c:pt>
                <c:pt idx="1">
                  <c:v>25</c:v>
                </c:pt>
                <c:pt idx="2">
                  <c:v>30</c:v>
                </c:pt>
                <c:pt idx="3">
                  <c:v>35</c:v>
                </c:pt>
                <c:pt idx="4">
                  <c:v>40</c:v>
                </c:pt>
                <c:pt idx="5">
                  <c:v>45</c:v>
                </c:pt>
                <c:pt idx="6">
                  <c:v>50</c:v>
                </c:pt>
                <c:pt idx="7">
                  <c:v>55</c:v>
                </c:pt>
                <c:pt idx="8">
                  <c:v>60</c:v>
                </c:pt>
                <c:pt idx="9">
                  <c:v>65</c:v>
                </c:pt>
                <c:pt idx="10">
                  <c:v>70</c:v>
                </c:pt>
              </c:numCache>
            </c:numRef>
          </c:xVal>
          <c:yVal>
            <c:numRef>
              <c:f>'1-4 d''onde'!$H$10:$R$10</c:f>
              <c:numCache>
                <c:formatCode>0.0</c:formatCode>
                <c:ptCount val="11"/>
                <c:pt idx="0">
                  <c:v>103.4</c:v>
                </c:pt>
                <c:pt idx="1">
                  <c:v>82.7</c:v>
                </c:pt>
                <c:pt idx="2">
                  <c:v>68.900000000000006</c:v>
                </c:pt>
                <c:pt idx="3">
                  <c:v>59.1</c:v>
                </c:pt>
                <c:pt idx="4">
                  <c:v>51.7</c:v>
                </c:pt>
                <c:pt idx="5">
                  <c:v>46</c:v>
                </c:pt>
                <c:pt idx="6">
                  <c:v>41.4</c:v>
                </c:pt>
                <c:pt idx="7">
                  <c:v>37.6</c:v>
                </c:pt>
                <c:pt idx="8">
                  <c:v>34.5</c:v>
                </c:pt>
                <c:pt idx="9">
                  <c:v>31.8</c:v>
                </c:pt>
                <c:pt idx="10">
                  <c:v>29.5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8-4D47-443A-8969-69648ADDDA6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13055232"/>
        <c:axId val="113056768"/>
      </c:scatterChart>
      <c:valAx>
        <c:axId val="113055232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fr-FR"/>
          </a:p>
        </c:txPr>
        <c:crossAx val="113056768"/>
        <c:crosses val="autoZero"/>
        <c:crossBetween val="midCat"/>
      </c:valAx>
      <c:valAx>
        <c:axId val="113056768"/>
        <c:scaling>
          <c:orientation val="minMax"/>
        </c:scaling>
        <c:delete val="0"/>
        <c:axPos val="l"/>
        <c:majorGridlines/>
        <c:numFmt formatCode="0.0" sourceLinked="1"/>
        <c:majorTickMark val="out"/>
        <c:minorTickMark val="none"/>
        <c:tickLblPos val="nextTo"/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fr-FR"/>
          </a:p>
        </c:txPr>
        <c:crossAx val="113055232"/>
        <c:crosses val="autoZero"/>
        <c:crossBetween val="midCat"/>
      </c:valAx>
    </c:plotArea>
    <c:legend>
      <c:legendPos val="r"/>
      <c:overlay val="0"/>
      <c:txPr>
        <a:bodyPr/>
        <a:lstStyle/>
        <a:p>
          <a:pPr>
            <a:defRPr sz="710" b="0" i="0" u="none" strike="noStrike" baseline="0">
              <a:solidFill>
                <a:srgbClr val="000000"/>
              </a:solidFill>
              <a:latin typeface="Calibri"/>
              <a:ea typeface="Calibri"/>
              <a:cs typeface="Calibri"/>
            </a:defRPr>
          </a:pPr>
          <a:endParaRPr lang="fr-FR"/>
        </a:p>
      </c:txPr>
    </c:legend>
    <c:plotVisOnly val="1"/>
    <c:dispBlanksAs val="gap"/>
    <c:showDLblsOverMax val="0"/>
  </c:chart>
  <c:txPr>
    <a:bodyPr/>
    <a:lstStyle/>
    <a:p>
      <a:pPr>
        <a:defRPr sz="1000" b="0" i="0" u="none" strike="noStrike" baseline="0">
          <a:solidFill>
            <a:srgbClr val="000000"/>
          </a:solidFill>
          <a:latin typeface="Calibri"/>
          <a:ea typeface="Calibri"/>
          <a:cs typeface="Calibri"/>
        </a:defRPr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scatterChart>
        <c:scatterStyle val="lineMarker"/>
        <c:varyColors val="0"/>
        <c:ser>
          <c:idx val="0"/>
          <c:order val="0"/>
          <c:tx>
            <c:strRef>
              <c:f>'1-4 d''onde'!$F$40</c:f>
              <c:strCache>
                <c:ptCount val="1"/>
                <c:pt idx="0">
                  <c:v>10</c:v>
                </c:pt>
              </c:strCache>
            </c:strRef>
          </c:tx>
          <c:spPr>
            <a:ln w="28575">
              <a:noFill/>
            </a:ln>
          </c:spPr>
          <c:trendline>
            <c:trendlineType val="linear"/>
            <c:intercept val="0"/>
            <c:dispRSqr val="0"/>
            <c:dispEq val="1"/>
            <c:trendlineLbl>
              <c:layout>
                <c:manualLayout>
                  <c:x val="0.12147127442403033"/>
                  <c:y val="-2.956029628617464E-4"/>
                </c:manualLayout>
              </c:layout>
              <c:numFmt formatCode="#,##0.000000" sourceLinked="0"/>
              <c:txPr>
                <a:bodyPr/>
                <a:lstStyle/>
                <a:p>
                  <a:pPr>
                    <a:defRPr sz="1000" b="0" i="0" u="none" strike="noStrike" baseline="0">
                      <a:solidFill>
                        <a:srgbClr val="000000"/>
                      </a:solidFill>
                      <a:latin typeface="Calibri"/>
                      <a:ea typeface="Calibri"/>
                      <a:cs typeface="Calibri"/>
                    </a:defRPr>
                  </a:pPr>
                  <a:endParaRPr lang="fr-FR"/>
                </a:p>
              </c:txPr>
            </c:trendlineLbl>
          </c:trendline>
          <c:xVal>
            <c:numRef>
              <c:f>'1-4 d''onde'!$H$39:$R$39</c:f>
              <c:numCache>
                <c:formatCode>General</c:formatCode>
                <c:ptCount val="11"/>
                <c:pt idx="0">
                  <c:v>20</c:v>
                </c:pt>
                <c:pt idx="1">
                  <c:v>25</c:v>
                </c:pt>
                <c:pt idx="2">
                  <c:v>30</c:v>
                </c:pt>
                <c:pt idx="3">
                  <c:v>35</c:v>
                </c:pt>
                <c:pt idx="4">
                  <c:v>40</c:v>
                </c:pt>
                <c:pt idx="5">
                  <c:v>45</c:v>
                </c:pt>
                <c:pt idx="6">
                  <c:v>50</c:v>
                </c:pt>
                <c:pt idx="7">
                  <c:v>55</c:v>
                </c:pt>
                <c:pt idx="8">
                  <c:v>60</c:v>
                </c:pt>
                <c:pt idx="9">
                  <c:v>65</c:v>
                </c:pt>
                <c:pt idx="10">
                  <c:v>70</c:v>
                </c:pt>
              </c:numCache>
            </c:numRef>
          </c:xVal>
          <c:yVal>
            <c:numRef>
              <c:f>'1-4 d''onde'!$H$40:$R$40</c:f>
              <c:numCache>
                <c:formatCode>0.000</c:formatCode>
                <c:ptCount val="11"/>
                <c:pt idx="0">
                  <c:v>4.3920000000000003</c:v>
                </c:pt>
                <c:pt idx="1">
                  <c:v>5.49</c:v>
                </c:pt>
                <c:pt idx="2">
                  <c:v>6.5880000000000001</c:v>
                </c:pt>
                <c:pt idx="3">
                  <c:v>7.6859999999999999</c:v>
                </c:pt>
                <c:pt idx="4">
                  <c:v>8.7840000000000007</c:v>
                </c:pt>
                <c:pt idx="5">
                  <c:v>9.8819999999999997</c:v>
                </c:pt>
                <c:pt idx="6">
                  <c:v>10.98</c:v>
                </c:pt>
                <c:pt idx="7">
                  <c:v>12.077999999999999</c:v>
                </c:pt>
                <c:pt idx="8">
                  <c:v>13.176</c:v>
                </c:pt>
                <c:pt idx="9">
                  <c:v>14.273999999999999</c:v>
                </c:pt>
                <c:pt idx="10">
                  <c:v>15.372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BC6E-4D6A-A235-E0BE2738692A}"/>
            </c:ext>
          </c:extLst>
        </c:ser>
        <c:ser>
          <c:idx val="1"/>
          <c:order val="1"/>
          <c:tx>
            <c:strRef>
              <c:f>'1-4 d''onde'!$F$41</c:f>
              <c:strCache>
                <c:ptCount val="1"/>
                <c:pt idx="0">
                  <c:v>5</c:v>
                </c:pt>
              </c:strCache>
            </c:strRef>
          </c:tx>
          <c:spPr>
            <a:ln w="28575">
              <a:noFill/>
            </a:ln>
          </c:spPr>
          <c:trendline>
            <c:trendlineType val="linear"/>
            <c:intercept val="0"/>
            <c:dispRSqr val="0"/>
            <c:dispEq val="1"/>
            <c:trendlineLbl>
              <c:layout>
                <c:manualLayout>
                  <c:x val="0.12147127442403033"/>
                  <c:y val="3.7348910561884752E-5"/>
                </c:manualLayout>
              </c:layout>
              <c:numFmt formatCode="#,##0.000000" sourceLinked="0"/>
              <c:txPr>
                <a:bodyPr/>
                <a:lstStyle/>
                <a:p>
                  <a:pPr>
                    <a:defRPr sz="1000" b="0" i="0" u="none" strike="noStrike" baseline="0">
                      <a:solidFill>
                        <a:srgbClr val="000000"/>
                      </a:solidFill>
                      <a:latin typeface="Calibri"/>
                      <a:ea typeface="Calibri"/>
                      <a:cs typeface="Calibri"/>
                    </a:defRPr>
                  </a:pPr>
                  <a:endParaRPr lang="fr-FR"/>
                </a:p>
              </c:txPr>
            </c:trendlineLbl>
          </c:trendline>
          <c:xVal>
            <c:numRef>
              <c:f>'1-4 d''onde'!$H$39:$R$39</c:f>
              <c:numCache>
                <c:formatCode>General</c:formatCode>
                <c:ptCount val="11"/>
                <c:pt idx="0">
                  <c:v>20</c:v>
                </c:pt>
                <c:pt idx="1">
                  <c:v>25</c:v>
                </c:pt>
                <c:pt idx="2">
                  <c:v>30</c:v>
                </c:pt>
                <c:pt idx="3">
                  <c:v>35</c:v>
                </c:pt>
                <c:pt idx="4">
                  <c:v>40</c:v>
                </c:pt>
                <c:pt idx="5">
                  <c:v>45</c:v>
                </c:pt>
                <c:pt idx="6">
                  <c:v>50</c:v>
                </c:pt>
                <c:pt idx="7">
                  <c:v>55</c:v>
                </c:pt>
                <c:pt idx="8">
                  <c:v>60</c:v>
                </c:pt>
                <c:pt idx="9">
                  <c:v>65</c:v>
                </c:pt>
                <c:pt idx="10">
                  <c:v>70</c:v>
                </c:pt>
              </c:numCache>
            </c:numRef>
          </c:xVal>
          <c:yVal>
            <c:numRef>
              <c:f>'1-4 d''onde'!$H$41:$R$41</c:f>
              <c:numCache>
                <c:formatCode>0.000</c:formatCode>
                <c:ptCount val="11"/>
                <c:pt idx="0">
                  <c:v>7.766</c:v>
                </c:pt>
                <c:pt idx="1">
                  <c:v>9.7080000000000002</c:v>
                </c:pt>
                <c:pt idx="2">
                  <c:v>11.648999999999999</c:v>
                </c:pt>
                <c:pt idx="3">
                  <c:v>13.590999999999999</c:v>
                </c:pt>
                <c:pt idx="4">
                  <c:v>15.532</c:v>
                </c:pt>
                <c:pt idx="5">
                  <c:v>17.474</c:v>
                </c:pt>
                <c:pt idx="6">
                  <c:v>19.414999999999999</c:v>
                </c:pt>
                <c:pt idx="7">
                  <c:v>21.356999999999999</c:v>
                </c:pt>
                <c:pt idx="8">
                  <c:v>23.297999999999998</c:v>
                </c:pt>
                <c:pt idx="9">
                  <c:v>25.24</c:v>
                </c:pt>
                <c:pt idx="10">
                  <c:v>27.181000000000001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BC6E-4D6A-A235-E0BE2738692A}"/>
            </c:ext>
          </c:extLst>
        </c:ser>
        <c:ser>
          <c:idx val="2"/>
          <c:order val="2"/>
          <c:tx>
            <c:strRef>
              <c:f>'1-4 d''onde'!$F$42</c:f>
              <c:strCache>
                <c:ptCount val="1"/>
                <c:pt idx="0">
                  <c:v>3</c:v>
                </c:pt>
              </c:strCache>
            </c:strRef>
          </c:tx>
          <c:spPr>
            <a:ln w="28575">
              <a:noFill/>
            </a:ln>
          </c:spPr>
          <c:trendline>
            <c:trendlineType val="linear"/>
            <c:intercept val="0"/>
            <c:dispRSqr val="0"/>
            <c:dispEq val="1"/>
            <c:trendlineLbl>
              <c:layout>
                <c:manualLayout>
                  <c:x val="0.11393423738699329"/>
                  <c:y val="1.0123604397606482E-2"/>
                </c:manualLayout>
              </c:layout>
              <c:numFmt formatCode="#,##0.000000" sourceLinked="0"/>
              <c:txPr>
                <a:bodyPr/>
                <a:lstStyle/>
                <a:p>
                  <a:pPr>
                    <a:defRPr sz="1000" b="0" i="0" u="none" strike="noStrike" baseline="0">
                      <a:solidFill>
                        <a:srgbClr val="000000"/>
                      </a:solidFill>
                      <a:latin typeface="Calibri"/>
                      <a:ea typeface="Calibri"/>
                      <a:cs typeface="Calibri"/>
                    </a:defRPr>
                  </a:pPr>
                  <a:endParaRPr lang="fr-FR"/>
                </a:p>
              </c:txPr>
            </c:trendlineLbl>
          </c:trendline>
          <c:xVal>
            <c:numRef>
              <c:f>'1-4 d''onde'!$H$39:$R$39</c:f>
              <c:numCache>
                <c:formatCode>General</c:formatCode>
                <c:ptCount val="11"/>
                <c:pt idx="0">
                  <c:v>20</c:v>
                </c:pt>
                <c:pt idx="1">
                  <c:v>25</c:v>
                </c:pt>
                <c:pt idx="2">
                  <c:v>30</c:v>
                </c:pt>
                <c:pt idx="3">
                  <c:v>35</c:v>
                </c:pt>
                <c:pt idx="4">
                  <c:v>40</c:v>
                </c:pt>
                <c:pt idx="5">
                  <c:v>45</c:v>
                </c:pt>
                <c:pt idx="6">
                  <c:v>50</c:v>
                </c:pt>
                <c:pt idx="7">
                  <c:v>55</c:v>
                </c:pt>
                <c:pt idx="8">
                  <c:v>60</c:v>
                </c:pt>
                <c:pt idx="9">
                  <c:v>65</c:v>
                </c:pt>
                <c:pt idx="10">
                  <c:v>70</c:v>
                </c:pt>
              </c:numCache>
            </c:numRef>
          </c:xVal>
          <c:yVal>
            <c:numRef>
              <c:f>'1-4 d''onde'!$H$42:$R$42</c:f>
              <c:numCache>
                <c:formatCode>0.000</c:formatCode>
                <c:ptCount val="11"/>
                <c:pt idx="0">
                  <c:v>11.058999999999999</c:v>
                </c:pt>
                <c:pt idx="1">
                  <c:v>13.824</c:v>
                </c:pt>
                <c:pt idx="2">
                  <c:v>16.588999999999999</c:v>
                </c:pt>
                <c:pt idx="3">
                  <c:v>19.353000000000002</c:v>
                </c:pt>
                <c:pt idx="4">
                  <c:v>22.117999999999999</c:v>
                </c:pt>
                <c:pt idx="5">
                  <c:v>24.882999999999999</c:v>
                </c:pt>
                <c:pt idx="6">
                  <c:v>27.648</c:v>
                </c:pt>
                <c:pt idx="7">
                  <c:v>30.411999999999999</c:v>
                </c:pt>
                <c:pt idx="8">
                  <c:v>33.177</c:v>
                </c:pt>
                <c:pt idx="9">
                  <c:v>35.942</c:v>
                </c:pt>
                <c:pt idx="10">
                  <c:v>38.707000000000001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2-BC6E-4D6A-A235-E0BE2738692A}"/>
            </c:ext>
          </c:extLst>
        </c:ser>
        <c:ser>
          <c:idx val="3"/>
          <c:order val="3"/>
          <c:tx>
            <c:strRef>
              <c:f>'1-4 d''onde'!$F$43</c:f>
              <c:strCache>
                <c:ptCount val="1"/>
                <c:pt idx="0">
                  <c:v>2</c:v>
                </c:pt>
              </c:strCache>
            </c:strRef>
          </c:tx>
          <c:spPr>
            <a:ln w="28575">
              <a:noFill/>
            </a:ln>
          </c:spPr>
          <c:trendline>
            <c:trendlineType val="linear"/>
            <c:intercept val="0"/>
            <c:dispRSqr val="0"/>
            <c:dispEq val="1"/>
            <c:trendlineLbl>
              <c:layout>
                <c:manualLayout>
                  <c:x val="0.12147127442403033"/>
                  <c:y val="1.3206483679778639E-3"/>
                </c:manualLayout>
              </c:layout>
              <c:numFmt formatCode="#,##0.000000" sourceLinked="0"/>
              <c:txPr>
                <a:bodyPr/>
                <a:lstStyle/>
                <a:p>
                  <a:pPr>
                    <a:defRPr sz="1000" b="0" i="0" u="none" strike="noStrike" baseline="0">
                      <a:solidFill>
                        <a:srgbClr val="000000"/>
                      </a:solidFill>
                      <a:latin typeface="Calibri"/>
                      <a:ea typeface="Calibri"/>
                      <a:cs typeface="Calibri"/>
                    </a:defRPr>
                  </a:pPr>
                  <a:endParaRPr lang="fr-FR"/>
                </a:p>
              </c:txPr>
            </c:trendlineLbl>
          </c:trendline>
          <c:xVal>
            <c:numRef>
              <c:f>'1-4 d''onde'!$H$39:$R$39</c:f>
              <c:numCache>
                <c:formatCode>General</c:formatCode>
                <c:ptCount val="11"/>
                <c:pt idx="0">
                  <c:v>20</c:v>
                </c:pt>
                <c:pt idx="1">
                  <c:v>25</c:v>
                </c:pt>
                <c:pt idx="2">
                  <c:v>30</c:v>
                </c:pt>
                <c:pt idx="3">
                  <c:v>35</c:v>
                </c:pt>
                <c:pt idx="4">
                  <c:v>40</c:v>
                </c:pt>
                <c:pt idx="5">
                  <c:v>45</c:v>
                </c:pt>
                <c:pt idx="6">
                  <c:v>50</c:v>
                </c:pt>
                <c:pt idx="7">
                  <c:v>55</c:v>
                </c:pt>
                <c:pt idx="8">
                  <c:v>60</c:v>
                </c:pt>
                <c:pt idx="9">
                  <c:v>65</c:v>
                </c:pt>
                <c:pt idx="10">
                  <c:v>70</c:v>
                </c:pt>
              </c:numCache>
            </c:numRef>
          </c:xVal>
          <c:yVal>
            <c:numRef>
              <c:f>'1-4 d''onde'!$H$43:$R$43</c:f>
              <c:numCache>
                <c:formatCode>0.000</c:formatCode>
                <c:ptCount val="11"/>
                <c:pt idx="0">
                  <c:v>14.025</c:v>
                </c:pt>
                <c:pt idx="1">
                  <c:v>17.530999999999999</c:v>
                </c:pt>
                <c:pt idx="2">
                  <c:v>21.038</c:v>
                </c:pt>
                <c:pt idx="3">
                  <c:v>24.544</c:v>
                </c:pt>
                <c:pt idx="4">
                  <c:v>28.05</c:v>
                </c:pt>
                <c:pt idx="5">
                  <c:v>31.556000000000001</c:v>
                </c:pt>
                <c:pt idx="6">
                  <c:v>35.063000000000002</c:v>
                </c:pt>
                <c:pt idx="7">
                  <c:v>38.569000000000003</c:v>
                </c:pt>
                <c:pt idx="8">
                  <c:v>42.075000000000003</c:v>
                </c:pt>
                <c:pt idx="9">
                  <c:v>45.581000000000003</c:v>
                </c:pt>
                <c:pt idx="10">
                  <c:v>49.088000000000001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3-BC6E-4D6A-A235-E0BE2738692A}"/>
            </c:ext>
          </c:extLst>
        </c:ser>
        <c:ser>
          <c:idx val="4"/>
          <c:order val="4"/>
          <c:tx>
            <c:strRef>
              <c:f>'1-4 d''onde'!$F$44</c:f>
              <c:strCache>
                <c:ptCount val="1"/>
                <c:pt idx="0">
                  <c:v>1</c:v>
                </c:pt>
              </c:strCache>
            </c:strRef>
          </c:tx>
          <c:spPr>
            <a:ln w="28575">
              <a:noFill/>
            </a:ln>
          </c:spPr>
          <c:trendline>
            <c:trendlineType val="linear"/>
            <c:intercept val="0"/>
            <c:dispRSqr val="0"/>
            <c:dispEq val="1"/>
            <c:trendlineLbl>
              <c:layout>
                <c:manualLayout>
                  <c:x val="0.12332312627588218"/>
                  <c:y val="8.1848771072813293E-4"/>
                </c:manualLayout>
              </c:layout>
              <c:numFmt formatCode="#,##0.000000" sourceLinked="0"/>
              <c:txPr>
                <a:bodyPr/>
                <a:lstStyle/>
                <a:p>
                  <a:pPr>
                    <a:defRPr sz="1000" b="0" i="0" u="none" strike="noStrike" baseline="0">
                      <a:solidFill>
                        <a:srgbClr val="000000"/>
                      </a:solidFill>
                      <a:latin typeface="Calibri"/>
                      <a:ea typeface="Calibri"/>
                      <a:cs typeface="Calibri"/>
                    </a:defRPr>
                  </a:pPr>
                  <a:endParaRPr lang="fr-FR"/>
                </a:p>
              </c:txPr>
            </c:trendlineLbl>
          </c:trendline>
          <c:xVal>
            <c:numRef>
              <c:f>'1-4 d''onde'!$H$39:$R$39</c:f>
              <c:numCache>
                <c:formatCode>General</c:formatCode>
                <c:ptCount val="11"/>
                <c:pt idx="0">
                  <c:v>20</c:v>
                </c:pt>
                <c:pt idx="1">
                  <c:v>25</c:v>
                </c:pt>
                <c:pt idx="2">
                  <c:v>30</c:v>
                </c:pt>
                <c:pt idx="3">
                  <c:v>35</c:v>
                </c:pt>
                <c:pt idx="4">
                  <c:v>40</c:v>
                </c:pt>
                <c:pt idx="5">
                  <c:v>45</c:v>
                </c:pt>
                <c:pt idx="6">
                  <c:v>50</c:v>
                </c:pt>
                <c:pt idx="7">
                  <c:v>55</c:v>
                </c:pt>
                <c:pt idx="8">
                  <c:v>60</c:v>
                </c:pt>
                <c:pt idx="9">
                  <c:v>65</c:v>
                </c:pt>
                <c:pt idx="10">
                  <c:v>70</c:v>
                </c:pt>
              </c:numCache>
            </c:numRef>
          </c:xVal>
          <c:yVal>
            <c:numRef>
              <c:f>'1-4 d''onde'!$H$44:$R$44</c:f>
              <c:numCache>
                <c:formatCode>0.000</c:formatCode>
                <c:ptCount val="11"/>
                <c:pt idx="0">
                  <c:v>19.428999999999998</c:v>
                </c:pt>
                <c:pt idx="1">
                  <c:v>24.286000000000001</c:v>
                </c:pt>
                <c:pt idx="2">
                  <c:v>29.143999999999998</c:v>
                </c:pt>
                <c:pt idx="3">
                  <c:v>34.000999999999998</c:v>
                </c:pt>
                <c:pt idx="4">
                  <c:v>38.857999999999997</c:v>
                </c:pt>
                <c:pt idx="5">
                  <c:v>43.715000000000003</c:v>
                </c:pt>
                <c:pt idx="6">
                  <c:v>48.573</c:v>
                </c:pt>
                <c:pt idx="7">
                  <c:v>53.43</c:v>
                </c:pt>
                <c:pt idx="8">
                  <c:v>58.286999999999999</c:v>
                </c:pt>
                <c:pt idx="9">
                  <c:v>63.143999999999998</c:v>
                </c:pt>
                <c:pt idx="10">
                  <c:v>68.001999999999995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4-BC6E-4D6A-A235-E0BE2738692A}"/>
            </c:ext>
          </c:extLst>
        </c:ser>
        <c:ser>
          <c:idx val="5"/>
          <c:order val="5"/>
          <c:tx>
            <c:strRef>
              <c:f>'1-4 d''onde'!$F$45</c:f>
              <c:strCache>
                <c:ptCount val="1"/>
                <c:pt idx="0">
                  <c:v>0.5</c:v>
                </c:pt>
              </c:strCache>
            </c:strRef>
          </c:tx>
          <c:spPr>
            <a:ln w="28575">
              <a:noFill/>
            </a:ln>
          </c:spPr>
          <c:trendline>
            <c:trendlineType val="linear"/>
            <c:intercept val="0"/>
            <c:dispRSqr val="0"/>
            <c:dispEq val="1"/>
            <c:trendlineLbl>
              <c:layout>
                <c:manualLayout>
                  <c:x val="0.12185914260717411"/>
                  <c:y val="-3.4479421091886289E-3"/>
                </c:manualLayout>
              </c:layout>
              <c:numFmt formatCode="#,##0.000000" sourceLinked="0"/>
              <c:txPr>
                <a:bodyPr/>
                <a:lstStyle/>
                <a:p>
                  <a:pPr>
                    <a:defRPr sz="1000" b="0" i="0" u="none" strike="noStrike" baseline="0">
                      <a:solidFill>
                        <a:srgbClr val="000000"/>
                      </a:solidFill>
                      <a:latin typeface="Calibri"/>
                      <a:ea typeface="Calibri"/>
                      <a:cs typeface="Calibri"/>
                    </a:defRPr>
                  </a:pPr>
                  <a:endParaRPr lang="fr-FR"/>
                </a:p>
              </c:txPr>
            </c:trendlineLbl>
          </c:trendline>
          <c:xVal>
            <c:numRef>
              <c:f>'1-4 d''onde'!$H$39:$R$39</c:f>
              <c:numCache>
                <c:formatCode>General</c:formatCode>
                <c:ptCount val="11"/>
                <c:pt idx="0">
                  <c:v>20</c:v>
                </c:pt>
                <c:pt idx="1">
                  <c:v>25</c:v>
                </c:pt>
                <c:pt idx="2">
                  <c:v>30</c:v>
                </c:pt>
                <c:pt idx="3">
                  <c:v>35</c:v>
                </c:pt>
                <c:pt idx="4">
                  <c:v>40</c:v>
                </c:pt>
                <c:pt idx="5">
                  <c:v>45</c:v>
                </c:pt>
                <c:pt idx="6">
                  <c:v>50</c:v>
                </c:pt>
                <c:pt idx="7">
                  <c:v>55</c:v>
                </c:pt>
                <c:pt idx="8">
                  <c:v>60</c:v>
                </c:pt>
                <c:pt idx="9">
                  <c:v>65</c:v>
                </c:pt>
                <c:pt idx="10">
                  <c:v>70</c:v>
                </c:pt>
              </c:numCache>
            </c:numRef>
          </c:xVal>
          <c:yVal>
            <c:numRef>
              <c:f>'1-4 d''onde'!$H$45:$R$45</c:f>
              <c:numCache>
                <c:formatCode>0.000</c:formatCode>
                <c:ptCount val="11"/>
                <c:pt idx="0">
                  <c:v>24.794</c:v>
                </c:pt>
                <c:pt idx="1">
                  <c:v>30.992999999999999</c:v>
                </c:pt>
                <c:pt idx="2">
                  <c:v>37.191000000000003</c:v>
                </c:pt>
                <c:pt idx="3">
                  <c:v>43.39</c:v>
                </c:pt>
                <c:pt idx="4">
                  <c:v>49.588000000000001</c:v>
                </c:pt>
                <c:pt idx="5">
                  <c:v>55.786999999999999</c:v>
                </c:pt>
                <c:pt idx="6">
                  <c:v>61.984999999999999</c:v>
                </c:pt>
                <c:pt idx="7">
                  <c:v>68.183999999999997</c:v>
                </c:pt>
                <c:pt idx="8">
                  <c:v>74.382000000000005</c:v>
                </c:pt>
                <c:pt idx="9">
                  <c:v>80.581000000000003</c:v>
                </c:pt>
                <c:pt idx="10">
                  <c:v>86.778999999999996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5-BC6E-4D6A-A235-E0BE2738692A}"/>
            </c:ext>
          </c:extLst>
        </c:ser>
        <c:ser>
          <c:idx val="6"/>
          <c:order val="6"/>
          <c:tx>
            <c:strRef>
              <c:f>'1-4 d''onde'!$F$46</c:f>
              <c:strCache>
                <c:ptCount val="1"/>
                <c:pt idx="0">
                  <c:v>0.333</c:v>
                </c:pt>
              </c:strCache>
            </c:strRef>
          </c:tx>
          <c:spPr>
            <a:ln w="28575">
              <a:noFill/>
            </a:ln>
          </c:spPr>
          <c:trendline>
            <c:trendlineType val="linear"/>
            <c:intercept val="0"/>
            <c:dispRSqr val="0"/>
            <c:dispEq val="1"/>
            <c:trendlineLbl>
              <c:layout>
                <c:manualLayout>
                  <c:x val="0.11223403324584427"/>
                  <c:y val="3.5517902995314305E-3"/>
                </c:manualLayout>
              </c:layout>
              <c:numFmt formatCode="#,##0.000000" sourceLinked="0"/>
              <c:txPr>
                <a:bodyPr/>
                <a:lstStyle/>
                <a:p>
                  <a:pPr>
                    <a:defRPr sz="1000" b="0" i="0" u="none" strike="noStrike" baseline="0">
                      <a:solidFill>
                        <a:srgbClr val="000000"/>
                      </a:solidFill>
                      <a:latin typeface="Calibri"/>
                      <a:ea typeface="Calibri"/>
                      <a:cs typeface="Calibri"/>
                    </a:defRPr>
                  </a:pPr>
                  <a:endParaRPr lang="fr-FR"/>
                </a:p>
              </c:txPr>
            </c:trendlineLbl>
          </c:trendline>
          <c:xVal>
            <c:numRef>
              <c:f>'1-4 d''onde'!$H$39:$R$39</c:f>
              <c:numCache>
                <c:formatCode>General</c:formatCode>
                <c:ptCount val="11"/>
                <c:pt idx="0">
                  <c:v>20</c:v>
                </c:pt>
                <c:pt idx="1">
                  <c:v>25</c:v>
                </c:pt>
                <c:pt idx="2">
                  <c:v>30</c:v>
                </c:pt>
                <c:pt idx="3">
                  <c:v>35</c:v>
                </c:pt>
                <c:pt idx="4">
                  <c:v>40</c:v>
                </c:pt>
                <c:pt idx="5">
                  <c:v>45</c:v>
                </c:pt>
                <c:pt idx="6">
                  <c:v>50</c:v>
                </c:pt>
                <c:pt idx="7">
                  <c:v>55</c:v>
                </c:pt>
                <c:pt idx="8">
                  <c:v>60</c:v>
                </c:pt>
                <c:pt idx="9">
                  <c:v>65</c:v>
                </c:pt>
                <c:pt idx="10">
                  <c:v>70</c:v>
                </c:pt>
              </c:numCache>
            </c:numRef>
          </c:xVal>
          <c:yVal>
            <c:numRef>
              <c:f>'1-4 d''onde'!$H$46:$R$46</c:f>
              <c:numCache>
                <c:formatCode>0.000</c:formatCode>
                <c:ptCount val="11"/>
                <c:pt idx="0">
                  <c:v>27.82</c:v>
                </c:pt>
                <c:pt idx="1">
                  <c:v>34.774999999999999</c:v>
                </c:pt>
                <c:pt idx="2">
                  <c:v>41.73</c:v>
                </c:pt>
                <c:pt idx="3">
                  <c:v>48.685000000000002</c:v>
                </c:pt>
                <c:pt idx="4">
                  <c:v>55.64</c:v>
                </c:pt>
                <c:pt idx="5">
                  <c:v>62.594999999999999</c:v>
                </c:pt>
                <c:pt idx="6">
                  <c:v>69.55</c:v>
                </c:pt>
                <c:pt idx="7">
                  <c:v>76.504999999999995</c:v>
                </c:pt>
                <c:pt idx="8">
                  <c:v>83.46</c:v>
                </c:pt>
                <c:pt idx="9">
                  <c:v>90.415000000000006</c:v>
                </c:pt>
                <c:pt idx="10">
                  <c:v>97.37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6-BC6E-4D6A-A235-E0BE2738692A}"/>
            </c:ext>
          </c:extLst>
        </c:ser>
        <c:ser>
          <c:idx val="7"/>
          <c:order val="7"/>
          <c:tx>
            <c:strRef>
              <c:f>'1-4 d''onde'!$F$47</c:f>
              <c:strCache>
                <c:ptCount val="1"/>
                <c:pt idx="0">
                  <c:v>0.2</c:v>
                </c:pt>
              </c:strCache>
            </c:strRef>
          </c:tx>
          <c:spPr>
            <a:ln w="28575">
              <a:noFill/>
            </a:ln>
          </c:spPr>
          <c:trendline>
            <c:trendlineType val="linear"/>
            <c:intercept val="0"/>
            <c:dispRSqr val="0"/>
            <c:dispEq val="1"/>
            <c:trendlineLbl>
              <c:layout>
                <c:manualLayout>
                  <c:x val="0.123474773986585"/>
                  <c:y val="-8.0573442419480646E-4"/>
                </c:manualLayout>
              </c:layout>
              <c:numFmt formatCode="#,##0.000000" sourceLinked="0"/>
              <c:txPr>
                <a:bodyPr/>
                <a:lstStyle/>
                <a:p>
                  <a:pPr>
                    <a:defRPr sz="1000" b="0" i="0" u="none" strike="noStrike" baseline="0">
                      <a:solidFill>
                        <a:srgbClr val="000000"/>
                      </a:solidFill>
                      <a:latin typeface="Calibri"/>
                      <a:ea typeface="Calibri"/>
                      <a:cs typeface="Calibri"/>
                    </a:defRPr>
                  </a:pPr>
                  <a:endParaRPr lang="fr-FR"/>
                </a:p>
              </c:txPr>
            </c:trendlineLbl>
          </c:trendline>
          <c:xVal>
            <c:numRef>
              <c:f>'1-4 d''onde'!$H$39:$R$39</c:f>
              <c:numCache>
                <c:formatCode>General</c:formatCode>
                <c:ptCount val="11"/>
                <c:pt idx="0">
                  <c:v>20</c:v>
                </c:pt>
                <c:pt idx="1">
                  <c:v>25</c:v>
                </c:pt>
                <c:pt idx="2">
                  <c:v>30</c:v>
                </c:pt>
                <c:pt idx="3">
                  <c:v>35</c:v>
                </c:pt>
                <c:pt idx="4">
                  <c:v>40</c:v>
                </c:pt>
                <c:pt idx="5">
                  <c:v>45</c:v>
                </c:pt>
                <c:pt idx="6">
                  <c:v>50</c:v>
                </c:pt>
                <c:pt idx="7">
                  <c:v>55</c:v>
                </c:pt>
                <c:pt idx="8">
                  <c:v>60</c:v>
                </c:pt>
                <c:pt idx="9">
                  <c:v>65</c:v>
                </c:pt>
                <c:pt idx="10">
                  <c:v>70</c:v>
                </c:pt>
              </c:numCache>
            </c:numRef>
          </c:xVal>
          <c:yVal>
            <c:numRef>
              <c:f>'1-4 d''onde'!$H$47:$R$47</c:f>
              <c:numCache>
                <c:formatCode>0.000</c:formatCode>
                <c:ptCount val="11"/>
                <c:pt idx="0">
                  <c:v>31.494</c:v>
                </c:pt>
                <c:pt idx="1">
                  <c:v>39.368000000000002</c:v>
                </c:pt>
                <c:pt idx="2">
                  <c:v>47.241</c:v>
                </c:pt>
                <c:pt idx="3">
                  <c:v>55.115000000000002</c:v>
                </c:pt>
                <c:pt idx="4">
                  <c:v>62.988</c:v>
                </c:pt>
                <c:pt idx="5">
                  <c:v>70.861999999999995</c:v>
                </c:pt>
                <c:pt idx="6">
                  <c:v>78.734999999999999</c:v>
                </c:pt>
                <c:pt idx="7">
                  <c:v>86.608999999999995</c:v>
                </c:pt>
                <c:pt idx="8">
                  <c:v>94.481999999999999</c:v>
                </c:pt>
                <c:pt idx="9">
                  <c:v>102.35599999999999</c:v>
                </c:pt>
                <c:pt idx="10">
                  <c:v>110.229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7-BC6E-4D6A-A235-E0BE2738692A}"/>
            </c:ext>
          </c:extLst>
        </c:ser>
        <c:ser>
          <c:idx val="8"/>
          <c:order val="8"/>
          <c:tx>
            <c:strRef>
              <c:f>'1-4 d''onde'!$F$48</c:f>
              <c:strCache>
                <c:ptCount val="1"/>
                <c:pt idx="0">
                  <c:v>0.1</c:v>
                </c:pt>
              </c:strCache>
            </c:strRef>
          </c:tx>
          <c:spPr>
            <a:ln w="28575">
              <a:noFill/>
            </a:ln>
          </c:spPr>
          <c:trendline>
            <c:trendlineType val="linear"/>
            <c:intercept val="0"/>
            <c:dispRSqr val="0"/>
            <c:dispEq val="1"/>
            <c:trendlineLbl>
              <c:layout>
                <c:manualLayout>
                  <c:x val="0.12162292213473316"/>
                  <c:y val="7.8592128261624559E-4"/>
                </c:manualLayout>
              </c:layout>
              <c:numFmt formatCode="#,##0.000000" sourceLinked="0"/>
              <c:txPr>
                <a:bodyPr/>
                <a:lstStyle/>
                <a:p>
                  <a:pPr>
                    <a:defRPr sz="1000" b="0" i="0" u="none" strike="noStrike" baseline="0">
                      <a:solidFill>
                        <a:srgbClr val="000000"/>
                      </a:solidFill>
                      <a:latin typeface="Calibri"/>
                      <a:ea typeface="Calibri"/>
                      <a:cs typeface="Calibri"/>
                    </a:defRPr>
                  </a:pPr>
                  <a:endParaRPr lang="fr-FR"/>
                </a:p>
              </c:txPr>
            </c:trendlineLbl>
          </c:trendline>
          <c:xVal>
            <c:numRef>
              <c:f>'1-4 d''onde'!$H$39:$R$39</c:f>
              <c:numCache>
                <c:formatCode>General</c:formatCode>
                <c:ptCount val="11"/>
                <c:pt idx="0">
                  <c:v>20</c:v>
                </c:pt>
                <c:pt idx="1">
                  <c:v>25</c:v>
                </c:pt>
                <c:pt idx="2">
                  <c:v>30</c:v>
                </c:pt>
                <c:pt idx="3">
                  <c:v>35</c:v>
                </c:pt>
                <c:pt idx="4">
                  <c:v>40</c:v>
                </c:pt>
                <c:pt idx="5">
                  <c:v>45</c:v>
                </c:pt>
                <c:pt idx="6">
                  <c:v>50</c:v>
                </c:pt>
                <c:pt idx="7">
                  <c:v>55</c:v>
                </c:pt>
                <c:pt idx="8">
                  <c:v>60</c:v>
                </c:pt>
                <c:pt idx="9">
                  <c:v>65</c:v>
                </c:pt>
                <c:pt idx="10">
                  <c:v>70</c:v>
                </c:pt>
              </c:numCache>
            </c:numRef>
          </c:xVal>
          <c:yVal>
            <c:numRef>
              <c:f>'1-4 d''onde'!$H$48:$R$48</c:f>
              <c:numCache>
                <c:formatCode>0.000</c:formatCode>
                <c:ptCount val="11"/>
                <c:pt idx="0">
                  <c:v>36.481999999999999</c:v>
                </c:pt>
                <c:pt idx="1">
                  <c:v>45.603000000000002</c:v>
                </c:pt>
                <c:pt idx="2">
                  <c:v>54.722999999999999</c:v>
                </c:pt>
                <c:pt idx="3">
                  <c:v>63.844000000000001</c:v>
                </c:pt>
                <c:pt idx="4">
                  <c:v>72.963999999999999</c:v>
                </c:pt>
                <c:pt idx="5">
                  <c:v>82.084999999999994</c:v>
                </c:pt>
                <c:pt idx="6">
                  <c:v>91.204999999999998</c:v>
                </c:pt>
                <c:pt idx="7">
                  <c:v>100.32599999999999</c:v>
                </c:pt>
                <c:pt idx="8">
                  <c:v>109.446</c:v>
                </c:pt>
                <c:pt idx="9">
                  <c:v>118.56699999999999</c:v>
                </c:pt>
                <c:pt idx="10">
                  <c:v>127.687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8-BC6E-4D6A-A235-E0BE2738692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13225728"/>
        <c:axId val="113227264"/>
      </c:scatterChart>
      <c:valAx>
        <c:axId val="113225728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fr-FR"/>
          </a:p>
        </c:txPr>
        <c:crossAx val="113227264"/>
        <c:crosses val="autoZero"/>
        <c:crossBetween val="midCat"/>
      </c:valAx>
      <c:valAx>
        <c:axId val="113227264"/>
        <c:scaling>
          <c:orientation val="minMax"/>
        </c:scaling>
        <c:delete val="0"/>
        <c:axPos val="l"/>
        <c:majorGridlines/>
        <c:numFmt formatCode="0.000" sourceLinked="1"/>
        <c:majorTickMark val="out"/>
        <c:minorTickMark val="none"/>
        <c:tickLblPos val="nextTo"/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fr-FR"/>
          </a:p>
        </c:txPr>
        <c:crossAx val="113225728"/>
        <c:crosses val="autoZero"/>
        <c:crossBetween val="midCat"/>
      </c:valAx>
    </c:plotArea>
    <c:legend>
      <c:legendPos val="r"/>
      <c:overlay val="0"/>
      <c:txPr>
        <a:bodyPr/>
        <a:lstStyle/>
        <a:p>
          <a:pPr>
            <a:defRPr sz="710" b="0" i="0" u="none" strike="noStrike" baseline="0">
              <a:solidFill>
                <a:srgbClr val="000000"/>
              </a:solidFill>
              <a:latin typeface="Calibri"/>
              <a:ea typeface="Calibri"/>
              <a:cs typeface="Calibri"/>
            </a:defRPr>
          </a:pPr>
          <a:endParaRPr lang="fr-FR"/>
        </a:p>
      </c:txPr>
    </c:legend>
    <c:plotVisOnly val="1"/>
    <c:dispBlanksAs val="gap"/>
    <c:showDLblsOverMax val="0"/>
  </c:chart>
  <c:txPr>
    <a:bodyPr/>
    <a:lstStyle/>
    <a:p>
      <a:pPr>
        <a:defRPr sz="1000" b="0" i="0" u="none" strike="noStrike" baseline="0">
          <a:solidFill>
            <a:srgbClr val="000000"/>
          </a:solidFill>
          <a:latin typeface="Calibri"/>
          <a:ea typeface="Calibri"/>
          <a:cs typeface="Calibri"/>
        </a:defRPr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scatterChart>
        <c:scatterStyle val="lineMarker"/>
        <c:varyColors val="0"/>
        <c:ser>
          <c:idx val="0"/>
          <c:order val="0"/>
          <c:spPr>
            <a:ln w="28575">
              <a:noFill/>
            </a:ln>
          </c:spPr>
          <c:trendline>
            <c:trendlineType val="poly"/>
            <c:order val="3"/>
            <c:dispRSqr val="0"/>
            <c:dispEq val="1"/>
            <c:trendlineLbl>
              <c:layout>
                <c:manualLayout>
                  <c:x val="-1.5093422728099581E-2"/>
                  <c:y val="0.34769046026109479"/>
                </c:manualLayout>
              </c:layout>
              <c:numFmt formatCode="#,##0.0000000000" sourceLinked="0"/>
              <c:txPr>
                <a:bodyPr/>
                <a:lstStyle/>
                <a:p>
                  <a:pPr>
                    <a:defRPr sz="1000" b="0" i="0" u="none" strike="noStrike" baseline="0">
                      <a:solidFill>
                        <a:srgbClr val="000000"/>
                      </a:solidFill>
                      <a:latin typeface="Calibri"/>
                      <a:ea typeface="Calibri"/>
                      <a:cs typeface="Calibri"/>
                    </a:defRPr>
                  </a:pPr>
                  <a:endParaRPr lang="fr-FR"/>
                </a:p>
              </c:txPr>
            </c:trendlineLbl>
          </c:trendline>
          <c:xVal>
            <c:numRef>
              <c:f>'1-4 d''onde'!$F$28:$F$36</c:f>
              <c:numCache>
                <c:formatCode>General</c:formatCode>
                <c:ptCount val="9"/>
                <c:pt idx="0">
                  <c:v>10</c:v>
                </c:pt>
                <c:pt idx="1">
                  <c:v>5</c:v>
                </c:pt>
                <c:pt idx="2">
                  <c:v>3</c:v>
                </c:pt>
                <c:pt idx="3">
                  <c:v>2</c:v>
                </c:pt>
                <c:pt idx="4">
                  <c:v>1</c:v>
                </c:pt>
                <c:pt idx="5">
                  <c:v>0.5</c:v>
                </c:pt>
                <c:pt idx="6">
                  <c:v>0.33300000000000002</c:v>
                </c:pt>
                <c:pt idx="7">
                  <c:v>0.2</c:v>
                </c:pt>
                <c:pt idx="8">
                  <c:v>0.1</c:v>
                </c:pt>
              </c:numCache>
            </c:numRef>
          </c:xVal>
          <c:yVal>
            <c:numRef>
              <c:f>'1-4 d''onde'!$G$28:$G$36</c:f>
              <c:numCache>
                <c:formatCode>General</c:formatCode>
                <c:ptCount val="9"/>
                <c:pt idx="0">
                  <c:v>0.41599999999999998</c:v>
                </c:pt>
                <c:pt idx="1">
                  <c:v>0.39300000000000002</c:v>
                </c:pt>
                <c:pt idx="2">
                  <c:v>0.377</c:v>
                </c:pt>
                <c:pt idx="3">
                  <c:v>0.36499999999999999</c:v>
                </c:pt>
                <c:pt idx="4">
                  <c:v>0.34899999999999998</c:v>
                </c:pt>
                <c:pt idx="5">
                  <c:v>0.33900000000000002</c:v>
                </c:pt>
                <c:pt idx="6">
                  <c:v>0.33600000000000002</c:v>
                </c:pt>
                <c:pt idx="7">
                  <c:v>0.33600000000000002</c:v>
                </c:pt>
                <c:pt idx="8">
                  <c:v>0.33600000000000002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819A-4973-A50E-CD6A2CDC3B0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13250304"/>
        <c:axId val="113251840"/>
      </c:scatterChart>
      <c:valAx>
        <c:axId val="113250304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fr-FR"/>
          </a:p>
        </c:txPr>
        <c:crossAx val="113251840"/>
        <c:crosses val="autoZero"/>
        <c:crossBetween val="midCat"/>
      </c:valAx>
      <c:valAx>
        <c:axId val="113251840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fr-FR"/>
          </a:p>
        </c:txPr>
        <c:crossAx val="113250304"/>
        <c:crosses val="autoZero"/>
        <c:crossBetween val="midCat"/>
      </c:valAx>
    </c:plotArea>
    <c:legend>
      <c:legendPos val="r"/>
      <c:overlay val="0"/>
      <c:txPr>
        <a:bodyPr/>
        <a:lstStyle/>
        <a:p>
          <a:pPr>
            <a:defRPr sz="710" b="0" i="0" u="none" strike="noStrike" baseline="0">
              <a:solidFill>
                <a:srgbClr val="000000"/>
              </a:solidFill>
              <a:latin typeface="Calibri"/>
              <a:ea typeface="Calibri"/>
              <a:cs typeface="Calibri"/>
            </a:defRPr>
          </a:pPr>
          <a:endParaRPr lang="fr-FR"/>
        </a:p>
      </c:txPr>
    </c:legend>
    <c:plotVisOnly val="1"/>
    <c:dispBlanksAs val="gap"/>
    <c:showDLblsOverMax val="0"/>
  </c:chart>
  <c:txPr>
    <a:bodyPr/>
    <a:lstStyle/>
    <a:p>
      <a:pPr>
        <a:defRPr sz="1000" b="0" i="0" u="none" strike="noStrike" baseline="0">
          <a:solidFill>
            <a:srgbClr val="000000"/>
          </a:solidFill>
          <a:latin typeface="Calibri"/>
          <a:ea typeface="Calibri"/>
          <a:cs typeface="Calibri"/>
        </a:defRPr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scatterChart>
        <c:scatterStyle val="lineMarker"/>
        <c:varyColors val="0"/>
        <c:ser>
          <c:idx val="0"/>
          <c:order val="0"/>
          <c:spPr>
            <a:ln w="28575">
              <a:noFill/>
            </a:ln>
          </c:spPr>
          <c:trendline>
            <c:trendlineType val="log"/>
            <c:dispRSqr val="0"/>
            <c:dispEq val="1"/>
            <c:trendlineLbl>
              <c:layout>
                <c:manualLayout>
                  <c:x val="-0.37641485408383357"/>
                  <c:y val="0.19473830477072718"/>
                </c:manualLayout>
              </c:layout>
              <c:numFmt formatCode="General" sourceLinked="0"/>
              <c:txPr>
                <a:bodyPr/>
                <a:lstStyle/>
                <a:p>
                  <a:pPr>
                    <a:defRPr sz="1000" b="0" i="0" u="none" strike="noStrike" baseline="0">
                      <a:solidFill>
                        <a:srgbClr val="000000"/>
                      </a:solidFill>
                      <a:latin typeface="Calibri"/>
                      <a:ea typeface="Calibri"/>
                      <a:cs typeface="Calibri"/>
                    </a:defRPr>
                  </a:pPr>
                  <a:endParaRPr lang="fr-FR"/>
                </a:p>
              </c:txPr>
            </c:trendlineLbl>
          </c:trendline>
          <c:xVal>
            <c:numRef>
              <c:f>'1-4 d''onde'!$F$2:$F$10</c:f>
              <c:numCache>
                <c:formatCode>General</c:formatCode>
                <c:ptCount val="9"/>
                <c:pt idx="0">
                  <c:v>10</c:v>
                </c:pt>
                <c:pt idx="1">
                  <c:v>5</c:v>
                </c:pt>
                <c:pt idx="2">
                  <c:v>3</c:v>
                </c:pt>
                <c:pt idx="3">
                  <c:v>2</c:v>
                </c:pt>
                <c:pt idx="4">
                  <c:v>1</c:v>
                </c:pt>
                <c:pt idx="5">
                  <c:v>0.5</c:v>
                </c:pt>
                <c:pt idx="6">
                  <c:v>0.33300000000000002</c:v>
                </c:pt>
                <c:pt idx="7">
                  <c:v>0.2</c:v>
                </c:pt>
                <c:pt idx="8">
                  <c:v>0.1</c:v>
                </c:pt>
              </c:numCache>
            </c:numRef>
          </c:xVal>
          <c:yVal>
            <c:numRef>
              <c:f>'1-4 d''onde'!$G$2:$G$10</c:f>
              <c:numCache>
                <c:formatCode>0.0</c:formatCode>
                <c:ptCount val="9"/>
                <c:pt idx="0">
                  <c:v>1.3587010175883734</c:v>
                </c:pt>
                <c:pt idx="1">
                  <c:v>8.0736195173064971</c:v>
                </c:pt>
                <c:pt idx="2">
                  <c:v>6.2039696643330444</c:v>
                </c:pt>
                <c:pt idx="3">
                  <c:v>5.0652030606419203</c:v>
                </c:pt>
                <c:pt idx="4">
                  <c:v>4.3050580866187147</c:v>
                </c:pt>
                <c:pt idx="5">
                  <c:v>3.4432795854662004</c:v>
                </c:pt>
                <c:pt idx="6">
                  <c:v>-0.68134689525322756</c:v>
                </c:pt>
                <c:pt idx="7">
                  <c:v>3.1725049722942913</c:v>
                </c:pt>
                <c:pt idx="8">
                  <c:v>1.7826111515414027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4341-40CA-B414-33CE5FFC4A9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13289856"/>
        <c:axId val="113291648"/>
      </c:scatterChart>
      <c:valAx>
        <c:axId val="113289856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fr-FR"/>
          </a:p>
        </c:txPr>
        <c:crossAx val="113291648"/>
        <c:crosses val="autoZero"/>
        <c:crossBetween val="midCat"/>
      </c:valAx>
      <c:valAx>
        <c:axId val="113291648"/>
        <c:scaling>
          <c:orientation val="minMax"/>
        </c:scaling>
        <c:delete val="0"/>
        <c:axPos val="l"/>
        <c:majorGridlines/>
        <c:numFmt formatCode="0.0" sourceLinked="1"/>
        <c:majorTickMark val="out"/>
        <c:minorTickMark val="none"/>
        <c:tickLblPos val="nextTo"/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fr-FR"/>
          </a:p>
        </c:txPr>
        <c:crossAx val="113289856"/>
        <c:crosses val="autoZero"/>
        <c:crossBetween val="midCat"/>
      </c:valAx>
    </c:plotArea>
    <c:legend>
      <c:legendPos val="r"/>
      <c:overlay val="0"/>
      <c:txPr>
        <a:bodyPr/>
        <a:lstStyle/>
        <a:p>
          <a:pPr>
            <a:defRPr sz="710" b="0" i="0" u="none" strike="noStrike" baseline="0">
              <a:solidFill>
                <a:srgbClr val="000000"/>
              </a:solidFill>
              <a:latin typeface="Calibri"/>
              <a:ea typeface="Calibri"/>
              <a:cs typeface="Calibri"/>
            </a:defRPr>
          </a:pPr>
          <a:endParaRPr lang="fr-FR"/>
        </a:p>
      </c:txPr>
    </c:legend>
    <c:plotVisOnly val="1"/>
    <c:dispBlanksAs val="gap"/>
    <c:showDLblsOverMax val="0"/>
  </c:chart>
  <c:txPr>
    <a:bodyPr/>
    <a:lstStyle/>
    <a:p>
      <a:pPr>
        <a:defRPr sz="1000" b="0" i="0" u="none" strike="noStrike" baseline="0">
          <a:solidFill>
            <a:srgbClr val="000000"/>
          </a:solidFill>
          <a:latin typeface="Calibri"/>
          <a:ea typeface="Calibri"/>
          <a:cs typeface="Calibri"/>
        </a:defRPr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scatterChart>
        <c:scatterStyle val="lineMarker"/>
        <c:varyColors val="0"/>
        <c:ser>
          <c:idx val="0"/>
          <c:order val="0"/>
          <c:spPr>
            <a:ln w="28575">
              <a:noFill/>
            </a:ln>
          </c:spPr>
          <c:trendline>
            <c:trendlineType val="log"/>
            <c:dispRSqr val="0"/>
            <c:dispEq val="1"/>
            <c:trendlineLbl>
              <c:layout>
                <c:manualLayout>
                  <c:x val="-0.27187677035420077"/>
                  <c:y val="-0.25154649786423755"/>
                </c:manualLayout>
              </c:layout>
              <c:numFmt formatCode="General" sourceLinked="0"/>
              <c:txPr>
                <a:bodyPr/>
                <a:lstStyle/>
                <a:p>
                  <a:pPr>
                    <a:defRPr sz="1000" b="0" i="0" u="none" strike="noStrike" baseline="0">
                      <a:solidFill>
                        <a:srgbClr val="000000"/>
                      </a:solidFill>
                      <a:latin typeface="Calibri"/>
                      <a:ea typeface="Calibri"/>
                      <a:cs typeface="Calibri"/>
                    </a:defRPr>
                  </a:pPr>
                  <a:endParaRPr lang="fr-FR"/>
                </a:p>
              </c:txPr>
            </c:trendlineLbl>
          </c:trendline>
          <c:xVal>
            <c:numRef>
              <c:f>'1-4 d''onde'!$F$40:$F$48</c:f>
              <c:numCache>
                <c:formatCode>General</c:formatCode>
                <c:ptCount val="9"/>
                <c:pt idx="0">
                  <c:v>10</c:v>
                </c:pt>
                <c:pt idx="1">
                  <c:v>5</c:v>
                </c:pt>
                <c:pt idx="2">
                  <c:v>3</c:v>
                </c:pt>
                <c:pt idx="3">
                  <c:v>2</c:v>
                </c:pt>
                <c:pt idx="4">
                  <c:v>1</c:v>
                </c:pt>
                <c:pt idx="5">
                  <c:v>0.5</c:v>
                </c:pt>
                <c:pt idx="6">
                  <c:v>0.33300000000000002</c:v>
                </c:pt>
                <c:pt idx="7">
                  <c:v>0.2</c:v>
                </c:pt>
                <c:pt idx="8">
                  <c:v>0.1</c:v>
                </c:pt>
              </c:numCache>
            </c:numRef>
          </c:xVal>
          <c:yVal>
            <c:numRef>
              <c:f>'1-4 d''onde'!$G$40:$G$48</c:f>
              <c:numCache>
                <c:formatCode>0.000</c:formatCode>
                <c:ptCount val="9"/>
                <c:pt idx="0">
                  <c:v>19.403433126310006</c:v>
                </c:pt>
                <c:pt idx="1">
                  <c:v>34.309793700722587</c:v>
                </c:pt>
                <c:pt idx="2">
                  <c:v>48.857862283663472</c:v>
                </c:pt>
                <c:pt idx="3">
                  <c:v>61.961364709126919</c:v>
                </c:pt>
                <c:pt idx="4">
                  <c:v>85.835716397328028</c:v>
                </c:pt>
                <c:pt idx="5">
                  <c:v>109.53785819862941</c:v>
                </c:pt>
                <c:pt idx="6">
                  <c:v>122.90608141483251</c:v>
                </c:pt>
                <c:pt idx="7">
                  <c:v>139.16997544349204</c:v>
                </c:pt>
                <c:pt idx="8">
                  <c:v>161.17431684624128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5D3B-4B9C-BE28-D26C0646892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12858240"/>
        <c:axId val="112859776"/>
      </c:scatterChart>
      <c:valAx>
        <c:axId val="112858240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fr-FR"/>
          </a:p>
        </c:txPr>
        <c:crossAx val="112859776"/>
        <c:crosses val="autoZero"/>
        <c:crossBetween val="midCat"/>
      </c:valAx>
      <c:valAx>
        <c:axId val="112859776"/>
        <c:scaling>
          <c:orientation val="minMax"/>
        </c:scaling>
        <c:delete val="0"/>
        <c:axPos val="l"/>
        <c:majorGridlines/>
        <c:numFmt formatCode="0.000" sourceLinked="1"/>
        <c:majorTickMark val="out"/>
        <c:minorTickMark val="none"/>
        <c:tickLblPos val="nextTo"/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fr-FR"/>
          </a:p>
        </c:txPr>
        <c:crossAx val="112858240"/>
        <c:crosses val="autoZero"/>
        <c:crossBetween val="midCat"/>
      </c:valAx>
    </c:plotArea>
    <c:legend>
      <c:legendPos val="r"/>
      <c:overlay val="0"/>
      <c:txPr>
        <a:bodyPr/>
        <a:lstStyle/>
        <a:p>
          <a:pPr>
            <a:defRPr sz="710" b="0" i="0" u="none" strike="noStrike" baseline="0">
              <a:solidFill>
                <a:srgbClr val="000000"/>
              </a:solidFill>
              <a:latin typeface="Calibri"/>
              <a:ea typeface="Calibri"/>
              <a:cs typeface="Calibri"/>
            </a:defRPr>
          </a:pPr>
          <a:endParaRPr lang="fr-FR"/>
        </a:p>
      </c:txPr>
    </c:legend>
    <c:plotVisOnly val="1"/>
    <c:dispBlanksAs val="gap"/>
    <c:showDLblsOverMax val="0"/>
  </c:chart>
  <c:txPr>
    <a:bodyPr/>
    <a:lstStyle/>
    <a:p>
      <a:pPr>
        <a:defRPr sz="1000" b="0" i="0" u="none" strike="noStrike" baseline="0">
          <a:solidFill>
            <a:srgbClr val="000000"/>
          </a:solidFill>
          <a:latin typeface="Calibri"/>
          <a:ea typeface="Calibri"/>
          <a:cs typeface="Calibri"/>
        </a:defRPr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chart" Target="../charts/chart5.xml"/><Relationship Id="rId2" Type="http://schemas.openxmlformats.org/officeDocument/2006/relationships/chart" Target="../charts/chart4.xml"/><Relationship Id="rId1" Type="http://schemas.openxmlformats.org/officeDocument/2006/relationships/chart" Target="../charts/chart3.xml"/><Relationship Id="rId6" Type="http://schemas.openxmlformats.org/officeDocument/2006/relationships/chart" Target="../charts/chart8.xml"/><Relationship Id="rId5" Type="http://schemas.openxmlformats.org/officeDocument/2006/relationships/chart" Target="../charts/chart7.xml"/><Relationship Id="rId4" Type="http://schemas.openxmlformats.org/officeDocument/2006/relationships/chart" Target="../charts/chart6.xml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0</xdr:colOff>
      <xdr:row>10</xdr:row>
      <xdr:rowOff>0</xdr:rowOff>
    </xdr:from>
    <xdr:to>
      <xdr:col>16</xdr:col>
      <xdr:colOff>0</xdr:colOff>
      <xdr:row>36</xdr:row>
      <xdr:rowOff>161924</xdr:rowOff>
    </xdr:to>
    <xdr:graphicFrame macro="">
      <xdr:nvGraphicFramePr>
        <xdr:cNvPr id="5" name="Graphique 4">
          <a:extLst>
            <a:ext uri="{FF2B5EF4-FFF2-40B4-BE49-F238E27FC236}">
              <a16:creationId xmlns:a16="http://schemas.microsoft.com/office/drawing/2014/main" id="{00000000-0008-0000-0200-000005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12</xdr:col>
      <xdr:colOff>266700</xdr:colOff>
      <xdr:row>39</xdr:row>
      <xdr:rowOff>57150</xdr:rowOff>
    </xdr:from>
    <xdr:to>
      <xdr:col>17</xdr:col>
      <xdr:colOff>695325</xdr:colOff>
      <xdr:row>55</xdr:row>
      <xdr:rowOff>152400</xdr:rowOff>
    </xdr:to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id="{E5DB963B-C322-4FA5-BE99-2F4DC08A5D25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0</xdr:colOff>
      <xdr:row>19</xdr:row>
      <xdr:rowOff>0</xdr:rowOff>
    </xdr:from>
    <xdr:to>
      <xdr:col>18</xdr:col>
      <xdr:colOff>0</xdr:colOff>
      <xdr:row>25</xdr:row>
      <xdr:rowOff>0</xdr:rowOff>
    </xdr:to>
    <xdr:graphicFrame macro="">
      <xdr:nvGraphicFramePr>
        <xdr:cNvPr id="1708" name="Graphique 2">
          <a:extLst>
            <a:ext uri="{FF2B5EF4-FFF2-40B4-BE49-F238E27FC236}">
              <a16:creationId xmlns:a16="http://schemas.microsoft.com/office/drawing/2014/main" id="{00000000-0008-0000-0300-0000AC06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19</xdr:col>
      <xdr:colOff>0</xdr:colOff>
      <xdr:row>0</xdr:row>
      <xdr:rowOff>0</xdr:rowOff>
    </xdr:from>
    <xdr:to>
      <xdr:col>27</xdr:col>
      <xdr:colOff>0</xdr:colOff>
      <xdr:row>29</xdr:row>
      <xdr:rowOff>0</xdr:rowOff>
    </xdr:to>
    <xdr:graphicFrame macro="">
      <xdr:nvGraphicFramePr>
        <xdr:cNvPr id="1709" name="Graphique 4">
          <a:extLst>
            <a:ext uri="{FF2B5EF4-FFF2-40B4-BE49-F238E27FC236}">
              <a16:creationId xmlns:a16="http://schemas.microsoft.com/office/drawing/2014/main" id="{00000000-0008-0000-0300-0000AD06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19</xdr:col>
      <xdr:colOff>0</xdr:colOff>
      <xdr:row>31</xdr:row>
      <xdr:rowOff>0</xdr:rowOff>
    </xdr:from>
    <xdr:to>
      <xdr:col>27</xdr:col>
      <xdr:colOff>0</xdr:colOff>
      <xdr:row>62</xdr:row>
      <xdr:rowOff>0</xdr:rowOff>
    </xdr:to>
    <xdr:graphicFrame macro="">
      <xdr:nvGraphicFramePr>
        <xdr:cNvPr id="1710" name="Graphique 5">
          <a:extLst>
            <a:ext uri="{FF2B5EF4-FFF2-40B4-BE49-F238E27FC236}">
              <a16:creationId xmlns:a16="http://schemas.microsoft.com/office/drawing/2014/main" id="{00000000-0008-0000-0300-0000AE06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8</xdr:col>
      <xdr:colOff>0</xdr:colOff>
      <xdr:row>26</xdr:row>
      <xdr:rowOff>161924</xdr:rowOff>
    </xdr:from>
    <xdr:to>
      <xdr:col>18</xdr:col>
      <xdr:colOff>0</xdr:colOff>
      <xdr:row>35</xdr:row>
      <xdr:rowOff>161924</xdr:rowOff>
    </xdr:to>
    <xdr:graphicFrame macro="">
      <xdr:nvGraphicFramePr>
        <xdr:cNvPr id="5" name="Graphique 2">
          <a:extLst>
            <a:ext uri="{FF2B5EF4-FFF2-40B4-BE49-F238E27FC236}">
              <a16:creationId xmlns:a16="http://schemas.microsoft.com/office/drawing/2014/main" id="{00000000-0008-0000-0300-000005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8</xdr:col>
      <xdr:colOff>0</xdr:colOff>
      <xdr:row>11</xdr:row>
      <xdr:rowOff>0</xdr:rowOff>
    </xdr:from>
    <xdr:to>
      <xdr:col>18</xdr:col>
      <xdr:colOff>0</xdr:colOff>
      <xdr:row>17</xdr:row>
      <xdr:rowOff>0</xdr:rowOff>
    </xdr:to>
    <xdr:graphicFrame macro="">
      <xdr:nvGraphicFramePr>
        <xdr:cNvPr id="6" name="Graphique 2">
          <a:extLst>
            <a:ext uri="{FF2B5EF4-FFF2-40B4-BE49-F238E27FC236}">
              <a16:creationId xmlns:a16="http://schemas.microsoft.com/office/drawing/2014/main" id="{00000000-0008-0000-0300-000006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8</xdr:col>
      <xdr:colOff>0</xdr:colOff>
      <xdr:row>49</xdr:row>
      <xdr:rowOff>0</xdr:rowOff>
    </xdr:from>
    <xdr:to>
      <xdr:col>18</xdr:col>
      <xdr:colOff>0</xdr:colOff>
      <xdr:row>55</xdr:row>
      <xdr:rowOff>0</xdr:rowOff>
    </xdr:to>
    <xdr:graphicFrame macro="">
      <xdr:nvGraphicFramePr>
        <xdr:cNvPr id="7" name="Graphique 2">
          <a:extLst>
            <a:ext uri="{FF2B5EF4-FFF2-40B4-BE49-F238E27FC236}">
              <a16:creationId xmlns:a16="http://schemas.microsoft.com/office/drawing/2014/main" id="{00000000-0008-0000-0300-000007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0</xdr:colOff>
      <xdr:row>1</xdr:row>
      <xdr:rowOff>0</xdr:rowOff>
    </xdr:from>
    <xdr:to>
      <xdr:col>4</xdr:col>
      <xdr:colOff>304800</xdr:colOff>
      <xdr:row>2</xdr:row>
      <xdr:rowOff>133350</xdr:rowOff>
    </xdr:to>
    <xdr:sp macro="" textlink="">
      <xdr:nvSpPr>
        <xdr:cNvPr id="2052" name="AutoShape 4" descr="http://img.audiofanzine.com/image.php?lang=fr&amp;identifier=image&amp;size=normal&amp;module=user&amp;userPhoto_id=255034">
          <a:extLst>
            <a:ext uri="{FF2B5EF4-FFF2-40B4-BE49-F238E27FC236}">
              <a16:creationId xmlns:a16="http://schemas.microsoft.com/office/drawing/2014/main" id="{00000000-0008-0000-0500-000004080000}"/>
            </a:ext>
          </a:extLst>
        </xdr:cNvPr>
        <xdr:cNvSpPr>
          <a:spLocks noChangeAspect="1" noChangeArrowheads="1"/>
        </xdr:cNvSpPr>
      </xdr:nvSpPr>
      <xdr:spPr bwMode="auto">
        <a:xfrm>
          <a:off x="3829050" y="1714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304800</xdr:colOff>
      <xdr:row>2</xdr:row>
      <xdr:rowOff>133350</xdr:rowOff>
    </xdr:to>
    <xdr:sp macro="" textlink="">
      <xdr:nvSpPr>
        <xdr:cNvPr id="2053" name="AutoShape 5" descr="http://img.audiofanzine.com/image.php?lang=fr&amp;identifier=image&amp;size=normal&amp;module=user&amp;userPhoto_id=255034">
          <a:extLst>
            <a:ext uri="{FF2B5EF4-FFF2-40B4-BE49-F238E27FC236}">
              <a16:creationId xmlns:a16="http://schemas.microsoft.com/office/drawing/2014/main" id="{00000000-0008-0000-0500-000005080000}"/>
            </a:ext>
          </a:extLst>
        </xdr:cNvPr>
        <xdr:cNvSpPr>
          <a:spLocks noChangeAspect="1" noChangeArrowheads="1"/>
        </xdr:cNvSpPr>
      </xdr:nvSpPr>
      <xdr:spPr bwMode="auto">
        <a:xfrm>
          <a:off x="3829050" y="1714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4</xdr:col>
      <xdr:colOff>0</xdr:colOff>
      <xdr:row>1</xdr:row>
      <xdr:rowOff>0</xdr:rowOff>
    </xdr:from>
    <xdr:to>
      <xdr:col>8</xdr:col>
      <xdr:colOff>284938</xdr:colOff>
      <xdr:row>14</xdr:row>
      <xdr:rowOff>45450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00000000-0008-0000-05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829050" y="171450"/>
          <a:ext cx="3332938" cy="2160000"/>
        </a:xfrm>
        <a:prstGeom prst="rect">
          <a:avLst/>
        </a:prstGeom>
      </xdr:spPr>
    </xdr:pic>
    <xdr:clientData/>
  </xdr:twoCellAnchor>
  <xdr:twoCellAnchor editAs="oneCell">
    <xdr:from>
      <xdr:col>4</xdr:col>
      <xdr:colOff>0</xdr:colOff>
      <xdr:row>15</xdr:row>
      <xdr:rowOff>0</xdr:rowOff>
    </xdr:from>
    <xdr:to>
      <xdr:col>7</xdr:col>
      <xdr:colOff>725260</xdr:colOff>
      <xdr:row>28</xdr:row>
      <xdr:rowOff>54975</xdr:rowOff>
    </xdr:to>
    <xdr:pic>
      <xdr:nvPicPr>
        <xdr:cNvPr id="8" name="Image 7">
          <a:extLst>
            <a:ext uri="{FF2B5EF4-FFF2-40B4-BE49-F238E27FC236}">
              <a16:creationId xmlns:a16="http://schemas.microsoft.com/office/drawing/2014/main" id="{00000000-0008-0000-0500-00000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3829050" y="2447925"/>
          <a:ext cx="3011260" cy="2160000"/>
        </a:xfrm>
        <a:prstGeom prst="rect">
          <a:avLst/>
        </a:prstGeom>
      </xdr:spPr>
    </xdr:pic>
    <xdr:clientData/>
  </xdr:twoCellAnchor>
  <xdr:twoCellAnchor editAs="oneCell">
    <xdr:from>
      <xdr:col>4</xdr:col>
      <xdr:colOff>0</xdr:colOff>
      <xdr:row>29</xdr:row>
      <xdr:rowOff>0</xdr:rowOff>
    </xdr:from>
    <xdr:to>
      <xdr:col>11</xdr:col>
      <xdr:colOff>751714</xdr:colOff>
      <xdr:row>57</xdr:row>
      <xdr:rowOff>37529</xdr:rowOff>
    </xdr:to>
    <xdr:pic>
      <xdr:nvPicPr>
        <xdr:cNvPr id="9" name="Image 8">
          <a:extLst>
            <a:ext uri="{FF2B5EF4-FFF2-40B4-BE49-F238E27FC236}">
              <a16:creationId xmlns:a16="http://schemas.microsoft.com/office/drawing/2014/main" id="{00000000-0008-0000-0500-00000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3829050" y="4714875"/>
          <a:ext cx="6085714" cy="4571429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GM94"/>
  <sheetViews>
    <sheetView topLeftCell="A12" zoomScale="90" zoomScaleNormal="90" workbookViewId="0">
      <selection activeCell="B62" sqref="B62"/>
    </sheetView>
  </sheetViews>
  <sheetFormatPr baseColWidth="10" defaultRowHeight="12.75" x14ac:dyDescent="0.2"/>
  <cols>
    <col min="1" max="1" width="29" bestFit="1" customWidth="1"/>
    <col min="2" max="2" width="15.7109375" customWidth="1"/>
    <col min="4" max="4" width="15.7109375" customWidth="1"/>
    <col min="5" max="5" width="10.7109375" bestFit="1" customWidth="1"/>
    <col min="6" max="6" width="15.7109375" customWidth="1"/>
    <col min="7" max="7" width="8.7109375" customWidth="1"/>
    <col min="8" max="8" width="6" bestFit="1" customWidth="1"/>
  </cols>
  <sheetData>
    <row r="1" spans="1:14" ht="15" x14ac:dyDescent="0.25">
      <c r="A1" s="110" t="s">
        <v>128</v>
      </c>
      <c r="B1" s="110"/>
      <c r="C1" s="110"/>
      <c r="D1" t="s">
        <v>110</v>
      </c>
      <c r="F1" s="2" t="s">
        <v>34</v>
      </c>
      <c r="G1" s="4"/>
      <c r="H1" s="3"/>
      <c r="N1" s="99"/>
    </row>
    <row r="2" spans="1:14" x14ac:dyDescent="0.2">
      <c r="A2" s="2" t="s">
        <v>79</v>
      </c>
      <c r="B2" s="93">
        <v>6.5</v>
      </c>
      <c r="C2" s="2" t="s">
        <v>80</v>
      </c>
      <c r="F2" s="2"/>
      <c r="G2" s="4"/>
      <c r="H2" s="2"/>
      <c r="K2" s="11"/>
    </row>
    <row r="3" spans="1:14" x14ac:dyDescent="0.2">
      <c r="A3" s="2" t="s">
        <v>90</v>
      </c>
      <c r="B3" s="93">
        <v>1</v>
      </c>
      <c r="C3" s="2"/>
      <c r="F3" s="32" t="s">
        <v>195</v>
      </c>
      <c r="G3" s="4">
        <v>343.70699999999999</v>
      </c>
      <c r="H3" s="2" t="s">
        <v>15</v>
      </c>
    </row>
    <row r="4" spans="1:14" x14ac:dyDescent="0.2">
      <c r="A4" s="2" t="s">
        <v>91</v>
      </c>
      <c r="B4" s="95" t="s">
        <v>198</v>
      </c>
      <c r="C4" s="2"/>
      <c r="F4" s="6" t="s">
        <v>13</v>
      </c>
      <c r="G4" s="4">
        <v>1.194</v>
      </c>
      <c r="H4" s="2" t="s">
        <v>16</v>
      </c>
    </row>
    <row r="5" spans="1:14" x14ac:dyDescent="0.2">
      <c r="A5" s="2" t="s">
        <v>29</v>
      </c>
      <c r="B5" s="92">
        <v>10.5</v>
      </c>
      <c r="C5" s="2" t="s">
        <v>30</v>
      </c>
      <c r="D5" s="102">
        <f>(1/((2*PI()*D18)^2*((D22*10000000)/(G4*G3^2)))*10000000000)*(D14/10000)^2*1000</f>
        <v>10.482167240294626</v>
      </c>
      <c r="E5" t="s">
        <v>30</v>
      </c>
    </row>
    <row r="6" spans="1:14" x14ac:dyDescent="0.2">
      <c r="A6" s="2" t="s">
        <v>35</v>
      </c>
      <c r="B6" s="92">
        <v>0.309</v>
      </c>
      <c r="C6" s="2" t="s">
        <v>39</v>
      </c>
      <c r="D6" s="19">
        <f>1/(2*PI()*D18)^2/D5*1000000</f>
        <v>0.30923215626925077</v>
      </c>
      <c r="E6" s="2" t="s">
        <v>39</v>
      </c>
    </row>
    <row r="7" spans="1:14" x14ac:dyDescent="0.2">
      <c r="A7" s="3" t="s">
        <v>95</v>
      </c>
      <c r="B7" s="92">
        <v>1.49</v>
      </c>
      <c r="C7" s="32" t="s">
        <v>96</v>
      </c>
      <c r="D7" s="101">
        <f>2*PI()*D18*D5/(D19*1000)</f>
        <v>1.4882790614874912</v>
      </c>
      <c r="E7" s="32" t="s">
        <v>96</v>
      </c>
    </row>
    <row r="8" spans="1:14" x14ac:dyDescent="0.2">
      <c r="A8" s="2" t="s">
        <v>36</v>
      </c>
      <c r="B8" s="92">
        <v>11.36</v>
      </c>
      <c r="C8" s="2" t="s">
        <v>17</v>
      </c>
      <c r="D8" s="101">
        <f>(2*PI()*D18*D5/1000*(B10/D20))^(1/2)</f>
        <v>11.358682147902787</v>
      </c>
      <c r="E8" t="s">
        <v>17</v>
      </c>
    </row>
    <row r="9" spans="1:14" x14ac:dyDescent="0.2">
      <c r="A9" s="2" t="s">
        <v>42</v>
      </c>
      <c r="B9" s="93">
        <v>16</v>
      </c>
      <c r="C9" s="2" t="s">
        <v>11</v>
      </c>
      <c r="K9" s="11"/>
    </row>
    <row r="10" spans="1:14" x14ac:dyDescent="0.2">
      <c r="A10" s="3" t="s">
        <v>65</v>
      </c>
      <c r="B10" s="93">
        <v>11.9</v>
      </c>
      <c r="C10" s="2" t="s">
        <v>11</v>
      </c>
      <c r="D10" s="103">
        <f>B10</f>
        <v>11.9</v>
      </c>
      <c r="H10" s="1"/>
      <c r="K10" s="10"/>
    </row>
    <row r="11" spans="1:14" ht="15" x14ac:dyDescent="0.25">
      <c r="A11" s="3" t="s">
        <v>103</v>
      </c>
      <c r="B11" s="3">
        <f>IF(OR(B3=4,B3=16,B3=64),1,IF(AND(B4="Parallèle",OR(B3=2,B3=8,B3=32)),1/2,IF(B3=1,1,2)))*B10</f>
        <v>11.9</v>
      </c>
      <c r="C11" s="32" t="s">
        <v>11</v>
      </c>
      <c r="H11" s="1"/>
      <c r="J11" s="99"/>
      <c r="K11" s="100"/>
    </row>
    <row r="12" spans="1:14" ht="15" x14ac:dyDescent="0.25">
      <c r="A12" s="2" t="s">
        <v>66</v>
      </c>
      <c r="B12" s="92">
        <v>0.1</v>
      </c>
      <c r="C12" s="2" t="s">
        <v>11</v>
      </c>
      <c r="H12" s="1"/>
      <c r="J12" s="99"/>
      <c r="K12" s="10"/>
    </row>
    <row r="13" spans="1:14" x14ac:dyDescent="0.2">
      <c r="A13" s="2" t="s">
        <v>67</v>
      </c>
      <c r="B13" s="93">
        <v>0</v>
      </c>
      <c r="C13" s="2" t="s">
        <v>11</v>
      </c>
      <c r="H13" s="1"/>
    </row>
    <row r="14" spans="1:14" x14ac:dyDescent="0.2">
      <c r="A14" s="3" t="s">
        <v>3</v>
      </c>
      <c r="B14" s="93">
        <v>132</v>
      </c>
      <c r="C14" s="31" t="s">
        <v>20</v>
      </c>
      <c r="D14" s="104">
        <f>B14</f>
        <v>132</v>
      </c>
      <c r="E14" s="31" t="s">
        <v>20</v>
      </c>
    </row>
    <row r="15" spans="1:14" x14ac:dyDescent="0.2">
      <c r="A15" s="3" t="s">
        <v>105</v>
      </c>
      <c r="B15" s="3">
        <f>B14*B3</f>
        <v>132</v>
      </c>
      <c r="C15" s="32" t="s">
        <v>12</v>
      </c>
      <c r="D15" s="9"/>
    </row>
    <row r="16" spans="1:14" x14ac:dyDescent="0.2">
      <c r="A16" s="2" t="s">
        <v>32</v>
      </c>
      <c r="B16" s="96">
        <v>5</v>
      </c>
      <c r="C16" s="31" t="s">
        <v>33</v>
      </c>
      <c r="D16" s="9"/>
    </row>
    <row r="17" spans="1:11" x14ac:dyDescent="0.2">
      <c r="A17" s="32" t="s">
        <v>89</v>
      </c>
      <c r="B17" s="96">
        <v>0.68</v>
      </c>
      <c r="C17" s="32" t="s">
        <v>130</v>
      </c>
      <c r="D17" s="9"/>
    </row>
    <row r="18" spans="1:11" x14ac:dyDescent="0.2">
      <c r="A18" s="3" t="s">
        <v>1</v>
      </c>
      <c r="B18" s="29">
        <f>((1/(B6/1000*B5/1000))^(1/2))/(2*PI())</f>
        <v>88.358074345673984</v>
      </c>
      <c r="C18" s="3" t="s">
        <v>9</v>
      </c>
      <c r="D18" s="88">
        <v>88.4</v>
      </c>
      <c r="E18" s="31" t="s">
        <v>9</v>
      </c>
    </row>
    <row r="19" spans="1:11" x14ac:dyDescent="0.2">
      <c r="A19" s="3" t="s">
        <v>7</v>
      </c>
      <c r="B19" s="19">
        <f>2*PI()*B18*B5/1000/B7</f>
        <v>3.9122729008348411</v>
      </c>
      <c r="C19" s="3"/>
      <c r="D19" s="88">
        <v>3.9119999999999999</v>
      </c>
    </row>
    <row r="20" spans="1:11" x14ac:dyDescent="0.2">
      <c r="A20" s="3" t="s">
        <v>8</v>
      </c>
      <c r="B20" s="19">
        <f>B10/((B8^2)/(2*PI()*B18*B5/1000))</f>
        <v>0.53753371420525575</v>
      </c>
      <c r="C20" s="3"/>
      <c r="D20" s="88">
        <v>0.53700000000000003</v>
      </c>
    </row>
    <row r="21" spans="1:11" x14ac:dyDescent="0.2">
      <c r="A21" s="3" t="s">
        <v>2</v>
      </c>
      <c r="B21" s="19">
        <f>B19*B20/(B19+B20)</f>
        <v>0.47259999485424214</v>
      </c>
      <c r="C21" s="3"/>
      <c r="D21" s="19">
        <f>D19*D20/(D19+D20)</f>
        <v>0.47218341200269731</v>
      </c>
      <c r="H21" s="1"/>
      <c r="K21" s="10"/>
    </row>
    <row r="22" spans="1:11" x14ac:dyDescent="0.2">
      <c r="A22" s="3" t="s">
        <v>28</v>
      </c>
      <c r="B22" s="20">
        <f>(((G3*(B14/10000))/(2*PI()*B18))^2*G4)/(B5/1000)*1000</f>
        <v>7.5942942943981198</v>
      </c>
      <c r="C22" s="32" t="s">
        <v>25</v>
      </c>
      <c r="D22" s="88">
        <v>7.6</v>
      </c>
      <c r="E22" s="31" t="s">
        <v>25</v>
      </c>
      <c r="H22" s="1"/>
      <c r="K22" s="11"/>
    </row>
    <row r="23" spans="1:11" x14ac:dyDescent="0.2">
      <c r="A23" s="3" t="s">
        <v>104</v>
      </c>
      <c r="B23" s="10">
        <f>B22*B3</f>
        <v>7.5942942943981198</v>
      </c>
      <c r="C23" s="32" t="s">
        <v>25</v>
      </c>
      <c r="H23" s="1"/>
      <c r="K23" s="11"/>
    </row>
    <row r="24" spans="1:11" x14ac:dyDescent="0.2">
      <c r="A24" s="32" t="s">
        <v>124</v>
      </c>
      <c r="B24" s="19">
        <f>B8/B5</f>
        <v>1.0819047619047619</v>
      </c>
      <c r="C24" s="2"/>
      <c r="D24" s="36"/>
    </row>
    <row r="25" spans="1:11" x14ac:dyDescent="0.2">
      <c r="A25" s="2" t="s">
        <v>40</v>
      </c>
      <c r="B25" s="5">
        <f>B18/B21</f>
        <v>186.96164897954583</v>
      </c>
      <c r="C25" s="2" t="s">
        <v>9</v>
      </c>
      <c r="D25" s="9" t="s">
        <v>109</v>
      </c>
      <c r="E25" t="s">
        <v>112</v>
      </c>
      <c r="H25" s="1"/>
    </row>
    <row r="26" spans="1:11" x14ac:dyDescent="0.2">
      <c r="A26" s="32" t="s">
        <v>108</v>
      </c>
      <c r="B26" s="38">
        <f>((4*(PI()^2)*(B18^3)*B22)/((G3^3)*B20))/1000</f>
        <v>9.4757816975130707E-3</v>
      </c>
      <c r="C26" s="2"/>
      <c r="D26" s="37">
        <f>(G4*D8^2*(D14/10000)^2)/(2*PI()*G3*(D5/1000)^2*D10)</f>
        <v>9.5058445266652074E-3</v>
      </c>
      <c r="E26" s="39">
        <f>1-D26/B26</f>
        <v>-3.1725962154685039E-3</v>
      </c>
      <c r="F26" s="55"/>
      <c r="G26" s="39"/>
    </row>
    <row r="27" spans="1:11" x14ac:dyDescent="0.2">
      <c r="A27" s="32" t="s">
        <v>134</v>
      </c>
      <c r="B27" s="35">
        <f>112.13+10*LOG(B26)</f>
        <v>91.896150469159096</v>
      </c>
      <c r="C27" s="32" t="s">
        <v>135</v>
      </c>
      <c r="D27" s="35">
        <f>112.13+10*LOG(D26)</f>
        <v>91.909907068908296</v>
      </c>
      <c r="E27" s="2"/>
      <c r="F27" s="2"/>
      <c r="G27" s="2"/>
    </row>
    <row r="28" spans="1:11" x14ac:dyDescent="0.2">
      <c r="A28" s="32" t="s">
        <v>133</v>
      </c>
      <c r="B28" s="35">
        <f>B27+10*LOG(8/(B10+B12))</f>
        <v>90.135237878602283</v>
      </c>
      <c r="C28" s="2" t="s">
        <v>63</v>
      </c>
      <c r="D28" s="35">
        <f>D27+10*LOG(8/B10)</f>
        <v>90.18533732490242</v>
      </c>
      <c r="E28" s="2" t="s">
        <v>63</v>
      </c>
      <c r="G28" s="2"/>
    </row>
    <row r="29" spans="1:11" x14ac:dyDescent="0.2">
      <c r="A29" s="2" t="s">
        <v>50</v>
      </c>
      <c r="B29" s="4">
        <f>8*G4*(((B14/PI())^(1/2))^3)/3/1000</f>
        <v>0.8671797878867461</v>
      </c>
      <c r="C29" s="2" t="s">
        <v>30</v>
      </c>
      <c r="D29" s="22"/>
    </row>
    <row r="30" spans="1:11" x14ac:dyDescent="0.2">
      <c r="A30" s="2" t="s">
        <v>51</v>
      </c>
      <c r="B30" s="4">
        <f>B5-B29</f>
        <v>9.6328202121132538</v>
      </c>
      <c r="C30" s="2" t="s">
        <v>30</v>
      </c>
    </row>
    <row r="31" spans="1:11" x14ac:dyDescent="0.2">
      <c r="A31" s="2" t="s">
        <v>58</v>
      </c>
      <c r="B31" s="30">
        <f>0.0021658336*B2^3.1531701172</f>
        <v>0.79228090860038691</v>
      </c>
      <c r="C31" s="2" t="s">
        <v>30</v>
      </c>
      <c r="D31" t="s">
        <v>83</v>
      </c>
    </row>
    <row r="32" spans="1:11" x14ac:dyDescent="0.2">
      <c r="A32" s="2" t="s">
        <v>52</v>
      </c>
      <c r="B32" s="4">
        <f>B30+B29+B31</f>
        <v>11.292280908600388</v>
      </c>
      <c r="C32" s="2" t="s">
        <v>30</v>
      </c>
    </row>
    <row r="33" spans="1:10" x14ac:dyDescent="0.2">
      <c r="A33" s="2" t="s">
        <v>53</v>
      </c>
      <c r="B33" s="29">
        <f>1/(2*PI()*SQRT(B6*B32))*1000</f>
        <v>85.202052181630663</v>
      </c>
      <c r="C33" s="2" t="s">
        <v>9</v>
      </c>
      <c r="D33" s="1"/>
    </row>
    <row r="34" spans="1:10" x14ac:dyDescent="0.2">
      <c r="A34" s="2" t="s">
        <v>64</v>
      </c>
      <c r="B34" s="4">
        <f>B19*B18/B33</f>
        <v>4.0571898326535667</v>
      </c>
      <c r="C34" s="2"/>
    </row>
    <row r="35" spans="1:10" x14ac:dyDescent="0.2">
      <c r="A35" s="2" t="s">
        <v>54</v>
      </c>
      <c r="B35" s="4">
        <f>2*PI()*B33*(B10+B12+B13)*B32/B8^2/1000</f>
        <v>0.5621292449402846</v>
      </c>
      <c r="C35" s="2"/>
    </row>
    <row r="36" spans="1:10" x14ac:dyDescent="0.2">
      <c r="A36" s="2" t="s">
        <v>55</v>
      </c>
      <c r="B36" s="19">
        <f>B34*B35/(B34+B35)</f>
        <v>0.4937232130751445</v>
      </c>
      <c r="C36" s="2"/>
    </row>
    <row r="37" spans="1:10" x14ac:dyDescent="0.2">
      <c r="A37" s="2" t="s">
        <v>56</v>
      </c>
      <c r="B37" s="5">
        <f>B33/B36</f>
        <v>172.57048063620809</v>
      </c>
      <c r="C37" s="2" t="s">
        <v>9</v>
      </c>
    </row>
    <row r="38" spans="1:10" x14ac:dyDescent="0.2">
      <c r="A38" s="32" t="s">
        <v>147</v>
      </c>
      <c r="B38" s="54">
        <f>1/(2*PI()*(B17/(B11+B12+B13)))*1000</f>
        <v>2808.616642798153</v>
      </c>
      <c r="C38" s="32" t="s">
        <v>9</v>
      </c>
    </row>
    <row r="39" spans="1:10" x14ac:dyDescent="0.2">
      <c r="A39" s="32" t="s">
        <v>107</v>
      </c>
      <c r="B39" s="38">
        <f>((4*(PI()^2)*(B33^3)*(B22/1000))/((G3^3)*B35))</f>
        <v>8.124488233248418E-3</v>
      </c>
      <c r="C39" s="2"/>
    </row>
    <row r="40" spans="1:10" x14ac:dyDescent="0.2">
      <c r="A40" s="32" t="s">
        <v>136</v>
      </c>
      <c r="B40" s="40">
        <f>112.13+10*LOG(B39)</f>
        <v>91.227960140230778</v>
      </c>
      <c r="C40" s="32" t="s">
        <v>135</v>
      </c>
      <c r="H40" s="14"/>
    </row>
    <row r="41" spans="1:10" x14ac:dyDescent="0.2">
      <c r="A41" s="32" t="s">
        <v>184</v>
      </c>
      <c r="B41" s="35">
        <f>B40+10*LOG(8/(B10+B12+B13))</f>
        <v>89.467047549673964</v>
      </c>
      <c r="C41" s="2" t="s">
        <v>63</v>
      </c>
      <c r="H41" s="14"/>
    </row>
    <row r="42" spans="1:10" x14ac:dyDescent="0.2">
      <c r="A42" s="32" t="s">
        <v>181</v>
      </c>
      <c r="B42" s="97"/>
      <c r="C42" s="2" t="s">
        <v>63</v>
      </c>
      <c r="H42" s="14"/>
    </row>
    <row r="43" spans="1:10" x14ac:dyDescent="0.2">
      <c r="A43" s="32" t="s">
        <v>117</v>
      </c>
      <c r="B43" s="91">
        <v>130</v>
      </c>
      <c r="C43" s="3" t="s">
        <v>77</v>
      </c>
      <c r="H43" s="14"/>
    </row>
    <row r="44" spans="1:10" x14ac:dyDescent="0.2">
      <c r="A44" s="32" t="s">
        <v>139</v>
      </c>
      <c r="B44" s="10">
        <f>B43/B45</f>
        <v>39.331920878594275</v>
      </c>
      <c r="C44" s="3" t="s">
        <v>185</v>
      </c>
      <c r="J44" s="28"/>
    </row>
    <row r="45" spans="1:10" x14ac:dyDescent="0.2">
      <c r="A45" s="32" t="s">
        <v>140</v>
      </c>
      <c r="B45" s="14">
        <f>(B43/B10)^(1/2)</f>
        <v>3.3052034351759891</v>
      </c>
      <c r="C45" s="3" t="s">
        <v>82</v>
      </c>
      <c r="J45" s="28"/>
    </row>
    <row r="46" spans="1:10" x14ac:dyDescent="0.2">
      <c r="A46" s="32" t="s">
        <v>141</v>
      </c>
      <c r="B46" s="40">
        <f>IF(B42="",B41,B42)+10*LOG(B43)</f>
        <v>110.60648107274233</v>
      </c>
      <c r="C46" s="2" t="s">
        <v>62</v>
      </c>
      <c r="H46" s="14"/>
    </row>
    <row r="47" spans="1:10" x14ac:dyDescent="0.2">
      <c r="A47" s="2" t="s">
        <v>93</v>
      </c>
      <c r="B47" s="14">
        <f>2.9507*EXP(0.1425*((4.3429*LN(B43)+IF(B42="",B41,B42))-B46))</f>
        <v>2.9506082714175919</v>
      </c>
      <c r="C47" s="3" t="s">
        <v>62</v>
      </c>
      <c r="H47" s="14"/>
    </row>
    <row r="48" spans="1:10" x14ac:dyDescent="0.2">
      <c r="A48" s="32" t="s">
        <v>142</v>
      </c>
      <c r="B48" s="20">
        <f>B46-B47</f>
        <v>107.65587280132473</v>
      </c>
      <c r="C48" s="3" t="s">
        <v>62</v>
      </c>
      <c r="H48" s="14"/>
    </row>
    <row r="49" spans="1:195" x14ac:dyDescent="0.2">
      <c r="A49" s="32" t="s">
        <v>101</v>
      </c>
      <c r="B49" s="91">
        <v>135</v>
      </c>
      <c r="C49" s="3" t="s">
        <v>77</v>
      </c>
      <c r="D49" t="s">
        <v>115</v>
      </c>
      <c r="E49" s="56">
        <v>35</v>
      </c>
      <c r="F49" t="s">
        <v>132</v>
      </c>
      <c r="G49" s="56"/>
    </row>
    <row r="50" spans="1:195" x14ac:dyDescent="0.2">
      <c r="A50" s="32" t="s">
        <v>102</v>
      </c>
      <c r="B50" s="34">
        <f>B49*B3</f>
        <v>135</v>
      </c>
      <c r="C50" s="3" t="s">
        <v>77</v>
      </c>
    </row>
    <row r="51" spans="1:195" x14ac:dyDescent="0.2">
      <c r="A51" s="32" t="s">
        <v>149</v>
      </c>
      <c r="B51" s="14">
        <f>2.9507*EXP(0.1425*((4.3429*LN(B50)+IF(B42="",B41,B42))-B46))</f>
        <v>3.0203340710719684</v>
      </c>
      <c r="C51" s="3" t="s">
        <v>62</v>
      </c>
      <c r="H51" s="14"/>
    </row>
    <row r="52" spans="1:195" x14ac:dyDescent="0.2">
      <c r="A52" s="32" t="s">
        <v>175</v>
      </c>
      <c r="B52" s="60" t="s">
        <v>196</v>
      </c>
      <c r="C52" s="3"/>
      <c r="H52" s="14"/>
    </row>
    <row r="53" spans="1:195" x14ac:dyDescent="0.2">
      <c r="A53" s="32" t="s">
        <v>143</v>
      </c>
      <c r="B53" s="35">
        <f>IF(B52="Non",B41+10*LOG(B50),IF(B42="",B41,B42)+10*LOG(B50)-B51)</f>
        <v>110.77038523462403</v>
      </c>
      <c r="C53" s="2" t="s">
        <v>62</v>
      </c>
      <c r="H53" s="14"/>
    </row>
    <row r="54" spans="1:195" x14ac:dyDescent="0.2">
      <c r="A54" s="2" t="s">
        <v>68</v>
      </c>
      <c r="B54" s="87">
        <v>3</v>
      </c>
      <c r="C54" s="3" t="s">
        <v>14</v>
      </c>
      <c r="H54" s="14"/>
    </row>
    <row r="55" spans="1:195" x14ac:dyDescent="0.2">
      <c r="A55" s="32" t="s">
        <v>182</v>
      </c>
      <c r="B55" s="87">
        <v>4</v>
      </c>
      <c r="C55" s="3" t="s">
        <v>183</v>
      </c>
      <c r="J55" s="28"/>
    </row>
    <row r="56" spans="1:195" x14ac:dyDescent="0.2">
      <c r="A56" s="32" t="s">
        <v>111</v>
      </c>
      <c r="B56" s="20">
        <f>(-1.4427*B55)*LN(B54)+B53</f>
        <v>104.4305134391781</v>
      </c>
      <c r="C56" s="3" t="s">
        <v>62</v>
      </c>
      <c r="J56" s="28"/>
    </row>
    <row r="57" spans="1:195" x14ac:dyDescent="0.2">
      <c r="A57" s="32" t="s">
        <v>137</v>
      </c>
      <c r="B57" s="10">
        <f>B50/B58</f>
        <v>40.081167647662163</v>
      </c>
      <c r="C57" s="3" t="s">
        <v>185</v>
      </c>
      <c r="J57" s="28"/>
    </row>
    <row r="58" spans="1:195" x14ac:dyDescent="0.2">
      <c r="A58" s="32" t="s">
        <v>138</v>
      </c>
      <c r="B58" s="14">
        <f>(B50/B11)^(1/2)</f>
        <v>3.3681653485430387</v>
      </c>
      <c r="C58" s="3" t="s">
        <v>82</v>
      </c>
      <c r="J58" s="28"/>
    </row>
    <row r="59" spans="1:195" x14ac:dyDescent="0.2">
      <c r="A59" s="32" t="s">
        <v>99</v>
      </c>
      <c r="B59" s="20">
        <f>((1.31*10^3*(B50^(1/2))/B60^(1/2))/1000)</f>
        <v>18.73553987867589</v>
      </c>
      <c r="C59" s="2" t="s">
        <v>9</v>
      </c>
      <c r="D59" s="59"/>
      <c r="E59" s="27"/>
      <c r="F59" s="27"/>
      <c r="G59" s="27"/>
      <c r="J59" s="28"/>
    </row>
    <row r="60" spans="1:195" x14ac:dyDescent="0.2">
      <c r="A60" s="2" t="s">
        <v>73</v>
      </c>
      <c r="B60" s="11">
        <f>B15*B16/1000</f>
        <v>0.66</v>
      </c>
      <c r="C60" s="32" t="s">
        <v>25</v>
      </c>
      <c r="H60" s="27"/>
      <c r="I60" s="27"/>
      <c r="J60" s="28"/>
      <c r="K60" s="27"/>
      <c r="L60" s="27"/>
      <c r="M60" s="27"/>
      <c r="N60" s="27"/>
      <c r="O60" s="27"/>
      <c r="P60" s="27"/>
      <c r="Q60" s="27"/>
      <c r="R60" s="27"/>
      <c r="S60" s="27"/>
      <c r="T60" s="27"/>
      <c r="U60" s="27"/>
      <c r="V60" s="27"/>
      <c r="W60" s="27"/>
      <c r="X60" s="27"/>
      <c r="Y60" s="27"/>
      <c r="Z60" s="27"/>
      <c r="AA60" s="27"/>
      <c r="AB60" s="27"/>
      <c r="AC60" s="27"/>
      <c r="AD60" s="27"/>
      <c r="AE60" s="27"/>
      <c r="AF60" s="27"/>
      <c r="AG60" s="27"/>
      <c r="AH60" s="27"/>
      <c r="AI60" s="27"/>
      <c r="AJ60" s="27"/>
      <c r="AK60" s="27"/>
      <c r="AL60" s="27"/>
      <c r="AM60" s="27"/>
      <c r="AN60" s="27"/>
      <c r="AO60" s="27"/>
      <c r="AP60" s="27"/>
      <c r="AQ60" s="27"/>
      <c r="AR60" s="27"/>
      <c r="AS60" s="27"/>
      <c r="AT60" s="27"/>
      <c r="AU60" s="27"/>
      <c r="AV60" s="27"/>
      <c r="AW60" s="27"/>
      <c r="AX60" s="27"/>
      <c r="AY60" s="27"/>
      <c r="AZ60" s="27"/>
      <c r="BA60" s="27"/>
      <c r="BB60" s="27"/>
      <c r="BC60" s="27"/>
      <c r="BD60" s="27"/>
      <c r="BE60" s="27"/>
      <c r="BF60" s="27"/>
      <c r="BG60" s="27"/>
      <c r="BH60" s="27"/>
      <c r="BI60" s="27"/>
      <c r="BJ60" s="27"/>
      <c r="BK60" s="27"/>
      <c r="BL60" s="27"/>
      <c r="BM60" s="27"/>
      <c r="BN60" s="27"/>
      <c r="BO60" s="27"/>
      <c r="BP60" s="27"/>
      <c r="BQ60" s="27"/>
      <c r="BR60" s="27"/>
      <c r="BS60" s="27"/>
      <c r="BT60" s="27"/>
      <c r="BU60" s="27"/>
      <c r="BV60" s="27"/>
      <c r="BW60" s="27"/>
      <c r="BX60" s="27"/>
      <c r="BY60" s="27"/>
      <c r="BZ60" s="27"/>
      <c r="CA60" s="27"/>
      <c r="CB60" s="27"/>
      <c r="CC60" s="27"/>
      <c r="CD60" s="27"/>
      <c r="CE60" s="27"/>
      <c r="CF60" s="27"/>
      <c r="CG60" s="27"/>
      <c r="CH60" s="27"/>
      <c r="CI60" s="27"/>
      <c r="CJ60" s="27"/>
      <c r="CK60" s="27"/>
      <c r="CL60" s="27"/>
      <c r="CM60" s="27"/>
      <c r="CN60" s="27"/>
      <c r="CO60" s="27"/>
      <c r="CP60" s="27"/>
      <c r="CQ60" s="27"/>
      <c r="CR60" s="27"/>
      <c r="CS60" s="27"/>
      <c r="CT60" s="27"/>
      <c r="CU60" s="27"/>
      <c r="CV60" s="27"/>
      <c r="CW60" s="27"/>
      <c r="CX60" s="27"/>
      <c r="CY60" s="27"/>
      <c r="CZ60" s="27"/>
      <c r="DA60" s="27"/>
      <c r="DB60" s="27"/>
      <c r="DC60" s="27"/>
      <c r="DD60" s="27"/>
      <c r="DE60" s="27"/>
      <c r="DF60" s="27"/>
      <c r="DG60" s="27"/>
      <c r="DH60" s="27"/>
      <c r="DI60" s="27"/>
      <c r="DJ60" s="27"/>
      <c r="DK60" s="27"/>
      <c r="DL60" s="27"/>
      <c r="DM60" s="27"/>
      <c r="DN60" s="27"/>
      <c r="DO60" s="27"/>
      <c r="DP60" s="27"/>
      <c r="DQ60" s="27"/>
      <c r="DR60" s="27"/>
      <c r="DS60" s="27"/>
      <c r="DT60" s="27"/>
      <c r="DU60" s="27"/>
      <c r="DV60" s="27"/>
      <c r="DW60" s="27"/>
      <c r="DX60" s="27"/>
      <c r="DY60" s="27"/>
      <c r="DZ60" s="27"/>
      <c r="EA60" s="27"/>
      <c r="EB60" s="27"/>
      <c r="EC60" s="27"/>
      <c r="ED60" s="27"/>
      <c r="EE60" s="27"/>
      <c r="EF60" s="27"/>
      <c r="EG60" s="27"/>
      <c r="EH60" s="27"/>
      <c r="EI60" s="27"/>
      <c r="EJ60" s="27"/>
      <c r="EK60" s="27"/>
      <c r="EL60" s="27"/>
      <c r="EM60" s="27"/>
      <c r="EN60" s="27"/>
      <c r="EO60" s="27"/>
      <c r="EP60" s="27"/>
      <c r="EQ60" s="27"/>
      <c r="ER60" s="27"/>
      <c r="ES60" s="27"/>
      <c r="ET60" s="27"/>
      <c r="EU60" s="27"/>
      <c r="EV60" s="27"/>
      <c r="EW60" s="27"/>
      <c r="EX60" s="27"/>
      <c r="EY60" s="27"/>
      <c r="EZ60" s="27"/>
      <c r="FA60" s="27"/>
      <c r="FB60" s="27"/>
      <c r="FC60" s="27"/>
      <c r="FD60" s="27"/>
      <c r="FE60" s="27"/>
      <c r="FF60" s="27"/>
      <c r="FG60" s="27"/>
      <c r="FH60" s="27"/>
      <c r="FI60" s="27"/>
      <c r="FJ60" s="27"/>
      <c r="FK60" s="27"/>
      <c r="FL60" s="27"/>
      <c r="FM60" s="27"/>
      <c r="FN60" s="27"/>
      <c r="FO60" s="27"/>
      <c r="FP60" s="27"/>
      <c r="FQ60" s="27"/>
      <c r="FR60" s="27"/>
      <c r="FS60" s="27"/>
      <c r="FT60" s="27"/>
      <c r="FU60" s="27"/>
      <c r="FV60" s="27"/>
      <c r="FW60" s="27"/>
      <c r="FX60" s="27"/>
      <c r="FY60" s="27"/>
      <c r="FZ60" s="27"/>
      <c r="GA60" s="27"/>
      <c r="GB60" s="27"/>
      <c r="GC60" s="27"/>
      <c r="GD60" s="27"/>
      <c r="GE60" s="27"/>
      <c r="GF60" s="27"/>
      <c r="GG60" s="27"/>
      <c r="GH60" s="27"/>
      <c r="GI60" s="27"/>
      <c r="GJ60" s="27"/>
      <c r="GK60" s="27"/>
      <c r="GL60" s="27"/>
      <c r="GM60" s="27"/>
    </row>
    <row r="61" spans="1:195" x14ac:dyDescent="0.2">
      <c r="A61" s="32" t="s">
        <v>121</v>
      </c>
      <c r="B61" s="98">
        <v>0.8</v>
      </c>
      <c r="C61" s="3" t="s">
        <v>151</v>
      </c>
      <c r="I61" s="22"/>
      <c r="J61" s="28"/>
      <c r="FL61" t="e">
        <f>ABS((#REF!/$B$18)^2/(#REF!/$B$18)^2-(#REF!/$B$18)^4/(#REF!/$B$18)^4)*((#REF!/$B$18)^4/(#REF!/$B$18)^2/((((((1-(#REF!/$B$18)^2)*(1+($B$22/#REF!)))/(#REF!/$B$18)^2)+(1/((#REF!/$B$18)*$B$90*$B$21)))^2+(((#REF!/$B$18)*(1/(#REF!/$B$18)/$B$90+1/$B$21))-((#REF!/$B$18)^3*(1/$B$21/(#REF!/$B$18)^2)+(1/(#REF!/$B$18)/$B$90))^2)^2)^0.5))</f>
        <v>#REF!</v>
      </c>
      <c r="FM61" t="e">
        <f>ABS((#REF!/$B$18)^2/(#REF!/$B$18)^2-(#REF!/$B$18)^4/(#REF!/$B$18)^4)*((#REF!/$B$18)^4/(#REF!/$B$18)^2/((((((1-(#REF!/$B$18)^2)*(1+($B$22/#REF!)))/(#REF!/$B$18)^2)+(1/((#REF!/$B$18)*$B$90*$B$21)))^2+(((#REF!/$B$18)*(1/(#REF!/$B$18)/$B$90+1/$B$21))-((#REF!/$B$18)^3*(1/$B$21/(#REF!/$B$18)^2)+(1/(#REF!/$B$18)/$B$90))^2)^2)^0.5))</f>
        <v>#REF!</v>
      </c>
      <c r="FN61" t="e">
        <f>ABS((#REF!/$B$18)^2/(#REF!/$B$18)^2-(#REF!/$B$18)^4/(#REF!/$B$18)^4)*((#REF!/$B$18)^4/(#REF!/$B$18)^2/((((((1-(#REF!/$B$18)^2)*(1+($B$22/#REF!)))/(#REF!/$B$18)^2)+(1/((#REF!/$B$18)*$B$90*$B$21)))^2+(((#REF!/$B$18)*(1/(#REF!/$B$18)/$B$90+1/$B$21))-((#REF!/$B$18)^3*(1/$B$21/(#REF!/$B$18)^2)+(1/(#REF!/$B$18)/$B$90))^2)^2)^0.5))</f>
        <v>#REF!</v>
      </c>
      <c r="FO61" t="e">
        <f>ABS((#REF!/$B$18)^2/(#REF!/$B$18)^2-(#REF!/$B$18)^4/(#REF!/$B$18)^4)*((#REF!/$B$18)^4/(#REF!/$B$18)^2/((((((1-(#REF!/$B$18)^2)*(1+($B$22/#REF!)))/(#REF!/$B$18)^2)+(1/((#REF!/$B$18)*$B$90*$B$21)))^2+(((#REF!/$B$18)*(1/(#REF!/$B$18)/$B$90+1/$B$21))-((#REF!/$B$18)^3*(1/$B$21/(#REF!/$B$18)^2)+(1/(#REF!/$B$18)/$B$90))^2)^2)^0.5))</f>
        <v>#REF!</v>
      </c>
      <c r="FP61" t="e">
        <f>ABS((#REF!/$B$18)^2/(#REF!/$B$18)^2-(#REF!/$B$18)^4/(#REF!/$B$18)^4)*((#REF!/$B$18)^4/(#REF!/$B$18)^2/((((((1-(#REF!/$B$18)^2)*(1+($B$22/#REF!)))/(#REF!/$B$18)^2)+(1/((#REF!/$B$18)*$B$90*$B$21)))^2+(((#REF!/$B$18)*(1/(#REF!/$B$18)/$B$90+1/$B$21))-((#REF!/$B$18)^3*(1/$B$21/(#REF!/$B$18)^2)+(1/(#REF!/$B$18)/$B$90))^2)^2)^0.5))</f>
        <v>#REF!</v>
      </c>
      <c r="FQ61" t="e">
        <f>ABS((#REF!/$B$18)^2/(#REF!/$B$18)^2-(#REF!/$B$18)^4/(#REF!/$B$18)^4)*((#REF!/$B$18)^4/(#REF!/$B$18)^2/((((((1-(#REF!/$B$18)^2)*(1+($B$22/#REF!)))/(#REF!/$B$18)^2)+(1/((#REF!/$B$18)*$B$90*$B$21)))^2+(((#REF!/$B$18)*(1/(#REF!/$B$18)/$B$90+1/$B$21))-((#REF!/$B$18)^3*(1/$B$21/(#REF!/$B$18)^2)+(1/(#REF!/$B$18)/$B$90))^2)^2)^0.5))</f>
        <v>#REF!</v>
      </c>
      <c r="FR61" t="e">
        <f>ABS((#REF!/$B$18)^2/(#REF!/$B$18)^2-(#REF!/$B$18)^4/(#REF!/$B$18)^4)*((#REF!/$B$18)^4/(#REF!/$B$18)^2/((((((1-(#REF!/$B$18)^2)*(1+($B$22/#REF!)))/(#REF!/$B$18)^2)+(1/((#REF!/$B$18)*$B$90*$B$21)))^2+(((#REF!/$B$18)*(1/(#REF!/$B$18)/$B$90+1/$B$21))-((#REF!/$B$18)^3*(1/$B$21/(#REF!/$B$18)^2)+(1/(#REF!/$B$18)/$B$90))^2)^2)^0.5))</f>
        <v>#REF!</v>
      </c>
      <c r="FS61" t="e">
        <f>ABS((#REF!/$B$18)^2/(#REF!/$B$18)^2-(#REF!/$B$18)^4/(#REF!/$B$18)^4)*((#REF!/$B$18)^4/(#REF!/$B$18)^2/((((((1-(#REF!/$B$18)^2)*(1+($B$22/#REF!)))/(#REF!/$B$18)^2)+(1/((#REF!/$B$18)*$B$90*$B$21)))^2+(((#REF!/$B$18)*(1/(#REF!/$B$18)/$B$90+1/$B$21))-((#REF!/$B$18)^3*(1/$B$21/(#REF!/$B$18)^2)+(1/(#REF!/$B$18)/$B$90))^2)^2)^0.5))</f>
        <v>#REF!</v>
      </c>
      <c r="FT61" t="e">
        <f>ABS((#REF!/$B$18)^2/(#REF!/$B$18)^2-(#REF!/$B$18)^4/(#REF!/$B$18)^4)*((#REF!/$B$18)^4/(#REF!/$B$18)^2/((((((1-(#REF!/$B$18)^2)*(1+($B$22/#REF!)))/(#REF!/$B$18)^2)+(1/((#REF!/$B$18)*$B$90*$B$21)))^2+(((#REF!/$B$18)*(1/(#REF!/$B$18)/$B$90+1/$B$21))-((#REF!/$B$18)^3*(1/$B$21/(#REF!/$B$18)^2)+(1/(#REF!/$B$18)/$B$90))^2)^2)^0.5))</f>
        <v>#REF!</v>
      </c>
      <c r="FU61" t="e">
        <f>ABS((#REF!/$B$18)^2/(#REF!/$B$18)^2-(#REF!/$B$18)^4/(#REF!/$B$18)^4)*((#REF!/$B$18)^4/(#REF!/$B$18)^2/((((((1-(#REF!/$B$18)^2)*(1+($B$22/#REF!)))/(#REF!/$B$18)^2)+(1/((#REF!/$B$18)*$B$90*$B$21)))^2+(((#REF!/$B$18)*(1/(#REF!/$B$18)/$B$90+1/$B$21))-((#REF!/$B$18)^3*(1/$B$21/(#REF!/$B$18)^2)+(1/(#REF!/$B$18)/$B$90))^2)^2)^0.5))</f>
        <v>#REF!</v>
      </c>
      <c r="FV61" t="e">
        <f>ABS((#REF!/$B$18)^2/(#REF!/$B$18)^2-(#REF!/$B$18)^4/(#REF!/$B$18)^4)*((#REF!/$B$18)^4/(#REF!/$B$18)^2/((((((1-(#REF!/$B$18)^2)*(1+($B$22/#REF!)))/(#REF!/$B$18)^2)+(1/((#REF!/$B$18)*$B$90*$B$21)))^2+(((#REF!/$B$18)*(1/(#REF!/$B$18)/$B$90+1/$B$21))-((#REF!/$B$18)^3*(1/$B$21/(#REF!/$B$18)^2)+(1/(#REF!/$B$18)/$B$90))^2)^2)^0.5))</f>
        <v>#REF!</v>
      </c>
      <c r="FW61" t="e">
        <f>ABS((#REF!/$B$18)^2/(#REF!/$B$18)^2-(#REF!/$B$18)^4/(#REF!/$B$18)^4)*((#REF!/$B$18)^4/(#REF!/$B$18)^2/((((((1-(#REF!/$B$18)^2)*(1+($B$22/#REF!)))/(#REF!/$B$18)^2)+(1/((#REF!/$B$18)*$B$90*$B$21)))^2+(((#REF!/$B$18)*(1/(#REF!/$B$18)/$B$90+1/$B$21))-((#REF!/$B$18)^3*(1/$B$21/(#REF!/$B$18)^2)+(1/(#REF!/$B$18)/$B$90))^2)^2)^0.5))</f>
        <v>#REF!</v>
      </c>
      <c r="FX61" t="e">
        <f>ABS((#REF!/$B$18)^2/(#REF!/$B$18)^2-(#REF!/$B$18)^4/(#REF!/$B$18)^4)*((#REF!/$B$18)^4/(#REF!/$B$18)^2/((((((1-(#REF!/$B$18)^2)*(1+($B$22/#REF!)))/(#REF!/$B$18)^2)+(1/((#REF!/$B$18)*$B$90*$B$21)))^2+(((#REF!/$B$18)*(1/(#REF!/$B$18)/$B$90+1/$B$21))-((#REF!/$B$18)^3*(1/$B$21/(#REF!/$B$18)^2)+(1/(#REF!/$B$18)/$B$90))^2)^2)^0.5))</f>
        <v>#REF!</v>
      </c>
      <c r="FY61" t="e">
        <f>ABS((#REF!/$B$18)^2/(#REF!/$B$18)^2-(#REF!/$B$18)^4/(#REF!/$B$18)^4)*((#REF!/$B$18)^4/(#REF!/$B$18)^2/((((((1-(#REF!/$B$18)^2)*(1+($B$22/#REF!)))/(#REF!/$B$18)^2)+(1/((#REF!/$B$18)*$B$90*$B$21)))^2+(((#REF!/$B$18)*(1/(#REF!/$B$18)/$B$90+1/$B$21))-((#REF!/$B$18)^3*(1/$B$21/(#REF!/$B$18)^2)+(1/(#REF!/$B$18)/$B$90))^2)^2)^0.5))</f>
        <v>#REF!</v>
      </c>
      <c r="FZ61" t="e">
        <f>ABS((#REF!/$B$18)^2/(#REF!/$B$18)^2-(#REF!/$B$18)^4/(#REF!/$B$18)^4)*((#REF!/$B$18)^4/(#REF!/$B$18)^2/((((((1-(#REF!/$B$18)^2)*(1+($B$22/#REF!)))/(#REF!/$B$18)^2)+(1/((#REF!/$B$18)*$B$90*$B$21)))^2+(((#REF!/$B$18)*(1/(#REF!/$B$18)/$B$90+1/$B$21))-((#REF!/$B$18)^3*(1/$B$21/(#REF!/$B$18)^2)+(1/(#REF!/$B$18)/$B$90))^2)^2)^0.5))</f>
        <v>#REF!</v>
      </c>
      <c r="GA61" t="e">
        <f>ABS((#REF!/$B$18)^2/(#REF!/$B$18)^2-(#REF!/$B$18)^4/(#REF!/$B$18)^4)*((#REF!/$B$18)^4/(#REF!/$B$18)^2/((((((1-(#REF!/$B$18)^2)*(1+($B$22/#REF!)))/(#REF!/$B$18)^2)+(1/((#REF!/$B$18)*$B$90*$B$21)))^2+(((#REF!/$B$18)*(1/(#REF!/$B$18)/$B$90+1/$B$21))-((#REF!/$B$18)^3*(1/$B$21/(#REF!/$B$18)^2)+(1/(#REF!/$B$18)/$B$90))^2)^2)^0.5))</f>
        <v>#REF!</v>
      </c>
      <c r="GB61" t="e">
        <f>ABS((#REF!/$B$18)^2/(#REF!/$B$18)^2-(#REF!/$B$18)^4/(#REF!/$B$18)^4)*((#REF!/$B$18)^4/(#REF!/$B$18)^2/((((((1-(#REF!/$B$18)^2)*(1+($B$22/#REF!)))/(#REF!/$B$18)^2)+(1/((#REF!/$B$18)*$B$90*$B$21)))^2+(((#REF!/$B$18)*(1/(#REF!/$B$18)/$B$90+1/$B$21))-((#REF!/$B$18)^3*(1/$B$21/(#REF!/$B$18)^2)+(1/(#REF!/$B$18)/$B$90))^2)^2)^0.5))</f>
        <v>#REF!</v>
      </c>
      <c r="GC61" t="e">
        <f>ABS((#REF!/$B$18)^2/(#REF!/$B$18)^2-(#REF!/$B$18)^4/(#REF!/$B$18)^4)*((#REF!/$B$18)^4/(#REF!/$B$18)^2/((((((1-(#REF!/$B$18)^2)*(1+($B$22/#REF!)))/(#REF!/$B$18)^2)+(1/((#REF!/$B$18)*$B$90*$B$21)))^2+(((#REF!/$B$18)*(1/(#REF!/$B$18)/$B$90+1/$B$21))-((#REF!/$B$18)^3*(1/$B$21/(#REF!/$B$18)^2)+(1/(#REF!/$B$18)/$B$90))^2)^2)^0.5))</f>
        <v>#REF!</v>
      </c>
      <c r="GD61" t="e">
        <f>ABS((#REF!/$B$18)^2/(#REF!/$B$18)^2-(#REF!/$B$18)^4/(#REF!/$B$18)^4)*((#REF!/$B$18)^4/(#REF!/$B$18)^2/((((((1-(#REF!/$B$18)^2)*(1+($B$22/#REF!)))/(#REF!/$B$18)^2)+(1/((#REF!/$B$18)*$B$90*$B$21)))^2+(((#REF!/$B$18)*(1/(#REF!/$B$18)/$B$90+1/$B$21))-((#REF!/$B$18)^3*(1/$B$21/(#REF!/$B$18)^2)+(1/(#REF!/$B$18)/$B$90))^2)^2)^0.5))</f>
        <v>#REF!</v>
      </c>
      <c r="GE61" t="e">
        <f>ABS((#REF!/$B$18)^2/(#REF!/$B$18)^2-(#REF!/$B$18)^4/(#REF!/$B$18)^4)*((#REF!/$B$18)^4/(#REF!/$B$18)^2/((((((1-(#REF!/$B$18)^2)*(1+($B$22/#REF!)))/(#REF!/$B$18)^2)+(1/((#REF!/$B$18)*$B$90*$B$21)))^2+(((#REF!/$B$18)*(1/(#REF!/$B$18)/$B$90+1/$B$21))-((#REF!/$B$18)^3*(1/$B$21/(#REF!/$B$18)^2)+(1/(#REF!/$B$18)/$B$90))^2)^2)^0.5))</f>
        <v>#REF!</v>
      </c>
      <c r="GF61" t="e">
        <f>ABS((#REF!/$B$18)^2/(#REF!/$B$18)^2-(#REF!/$B$18)^4/(#REF!/$B$18)^4)*((#REF!/$B$18)^4/(#REF!/$B$18)^2/((((((1-(#REF!/$B$18)^2)*(1+($B$22/#REF!)))/(#REF!/$B$18)^2)+(1/((#REF!/$B$18)*$B$90*$B$21)))^2+(((#REF!/$B$18)*(1/(#REF!/$B$18)/$B$90+1/$B$21))-((#REF!/$B$18)^3*(1/$B$21/(#REF!/$B$18)^2)+(1/(#REF!/$B$18)/$B$90))^2)^2)^0.5))</f>
        <v>#REF!</v>
      </c>
      <c r="GG61" t="e">
        <f>ABS((#REF!/$B$18)^2/(#REF!/$B$18)^2-(#REF!/$B$18)^4/(#REF!/$B$18)^4)*((#REF!/$B$18)^4/(#REF!/$B$18)^2/((((((1-(#REF!/$B$18)^2)*(1+($B$22/#REF!)))/(#REF!/$B$18)^2)+(1/((#REF!/$B$18)*$B$90*$B$21)))^2+(((#REF!/$B$18)*(1/(#REF!/$B$18)/$B$90+1/$B$21))-((#REF!/$B$18)^3*(1/$B$21/(#REF!/$B$18)^2)+(1/(#REF!/$B$18)/$B$90))^2)^2)^0.5))</f>
        <v>#REF!</v>
      </c>
      <c r="GH61" t="e">
        <f>ABS((#REF!/$B$18)^2/(#REF!/$B$18)^2-(#REF!/$B$18)^4/(#REF!/$B$18)^4)*((#REF!/$B$18)^4/(#REF!/$B$18)^2/((((((1-(#REF!/$B$18)^2)*(1+($B$22/#REF!)))/(#REF!/$B$18)^2)+(1/((#REF!/$B$18)*$B$90*$B$21)))^2+(((#REF!/$B$18)*(1/(#REF!/$B$18)/$B$90+1/$B$21))-((#REF!/$B$18)^3*(1/$B$21/(#REF!/$B$18)^2)+(1/(#REF!/$B$18)/$B$90))^2)^2)^0.5))</f>
        <v>#REF!</v>
      </c>
      <c r="GI61" t="e">
        <f>ABS((#REF!/$B$18)^2/(#REF!/$B$18)^2-(#REF!/$B$18)^4/(#REF!/$B$18)^4)*((#REF!/$B$18)^4/(#REF!/$B$18)^2/((((((1-(#REF!/$B$18)^2)*(1+($B$22/#REF!)))/(#REF!/$B$18)^2)+(1/((#REF!/$B$18)*$B$90*$B$21)))^2+(((#REF!/$B$18)*(1/(#REF!/$B$18)/$B$90+1/$B$21))-((#REF!/$B$18)^3*(1/$B$21/(#REF!/$B$18)^2)+(1/(#REF!/$B$18)/$B$90))^2)^2)^0.5))</f>
        <v>#REF!</v>
      </c>
      <c r="GJ61" t="e">
        <f>ABS((#REF!/$B$18)^2/(#REF!/$B$18)^2-(#REF!/$B$18)^4/(#REF!/$B$18)^4)*((#REF!/$B$18)^4/(#REF!/$B$18)^2/((((((1-(#REF!/$B$18)^2)*(1+($B$22/#REF!)))/(#REF!/$B$18)^2)+(1/((#REF!/$B$18)*$B$90*$B$21)))^2+(((#REF!/$B$18)*(1/(#REF!/$B$18)/$B$90+1/$B$21))-((#REF!/$B$18)^3*(1/$B$21/(#REF!/$B$18)^2)+(1/(#REF!/$B$18)/$B$90))^2)^2)^0.5))</f>
        <v>#REF!</v>
      </c>
      <c r="GK61" t="e">
        <f>ABS((#REF!/$B$18)^2/(#REF!/$B$18)^2-(#REF!/$B$18)^4/(#REF!/$B$18)^4)*((#REF!/$B$18)^4/(#REF!/$B$18)^2/((((((1-(#REF!/$B$18)^2)*(1+($B$22/#REF!)))/(#REF!/$B$18)^2)+(1/((#REF!/$B$18)*$B$90*$B$21)))^2+(((#REF!/$B$18)*(1/(#REF!/$B$18)/$B$90+1/$B$21))-((#REF!/$B$18)^3*(1/$B$21/(#REF!/$B$18)^2)+(1/(#REF!/$B$18)/$B$90))^2)^2)^0.5))</f>
        <v>#REF!</v>
      </c>
      <c r="GL61" t="e">
        <f>ABS((#REF!/$B$18)^2/(#REF!/$B$18)^2-(#REF!/$B$18)^4/(#REF!/$B$18)^4)*((#REF!/$B$18)^4/(#REF!/$B$18)^2/((((((1-(#REF!/$B$18)^2)*(1+($B$22/#REF!)))/(#REF!/$B$18)^2)+(1/((#REF!/$B$18)*$B$90*$B$21)))^2+(((#REF!/$B$18)*(1/(#REF!/$B$18)/$B$90+1/$B$21))-((#REF!/$B$18)^3*(1/$B$21/(#REF!/$B$18)^2)+(1/(#REF!/$B$18)/$B$90))^2)^2)^0.5))</f>
        <v>#REF!</v>
      </c>
      <c r="GM61" t="e">
        <f>ABS((#REF!/$B$18)^2/(#REF!/$B$18)^2-(#REF!/$B$18)^4/(#REF!/$B$18)^4)*((#REF!/$B$18)^4/(#REF!/$B$18)^2/((((((1-(#REF!/$B$18)^2)*(1+($B$22/#REF!)))/(#REF!/$B$18)^2)+(1/((#REF!/$B$18)*$B$90*$B$21)))^2+(((#REF!/$B$18)*(1/(#REF!/$B$18)/$B$90+1/$B$21))-((#REF!/$B$18)^3*(1/$B$21/(#REF!/$B$18)^2)+(1/(#REF!/$B$18)/$B$90))^2)^2)^0.5))</f>
        <v>#REF!</v>
      </c>
    </row>
    <row r="62" spans="1:195" x14ac:dyDescent="0.2">
      <c r="A62" s="32" t="s">
        <v>120</v>
      </c>
      <c r="B62" s="11">
        <f>B61*B3</f>
        <v>0.8</v>
      </c>
      <c r="C62" s="3" t="s">
        <v>25</v>
      </c>
      <c r="J62" s="28"/>
    </row>
    <row r="63" spans="1:195" x14ac:dyDescent="0.2">
      <c r="A63" s="32" t="s">
        <v>81</v>
      </c>
      <c r="B63" s="35">
        <f>'BR Simplifié'!B15</f>
        <v>63.524691000594743</v>
      </c>
      <c r="C63" s="3" t="s">
        <v>9</v>
      </c>
      <c r="J63" s="28"/>
    </row>
    <row r="64" spans="1:195" x14ac:dyDescent="0.2">
      <c r="A64" s="32" t="s">
        <v>145</v>
      </c>
      <c r="B64" s="35">
        <f>20*LOG(B16*1000)+20*LOG(B14*10000)+40*LOG(B63)+20*LOG(4)-37.42</f>
        <v>243.12978098597773</v>
      </c>
      <c r="C64" s="3" t="s">
        <v>62</v>
      </c>
      <c r="J64" s="28"/>
    </row>
    <row r="65" spans="1:3" x14ac:dyDescent="0.2">
      <c r="A65" s="32" t="s">
        <v>148</v>
      </c>
      <c r="B65" s="88">
        <v>-45</v>
      </c>
      <c r="C65" s="3" t="s">
        <v>62</v>
      </c>
    </row>
    <row r="66" spans="1:3" x14ac:dyDescent="0.2">
      <c r="A66" s="32" t="s">
        <v>148</v>
      </c>
      <c r="B66" s="57">
        <f>100*EXP(0.1151*B65)/100</f>
        <v>5.6308211212293324E-3</v>
      </c>
      <c r="C66" s="3" t="s">
        <v>146</v>
      </c>
    </row>
    <row r="67" spans="1:3" x14ac:dyDescent="0.2">
      <c r="A67" s="32" t="s">
        <v>161</v>
      </c>
      <c r="B67" s="11">
        <f>B2*25.4*1.1/1000</f>
        <v>0.18161000000000002</v>
      </c>
      <c r="C67" s="3" t="s">
        <v>14</v>
      </c>
    </row>
    <row r="68" spans="1:3" x14ac:dyDescent="0.2">
      <c r="A68" s="32" t="s">
        <v>162</v>
      </c>
      <c r="B68" s="11">
        <f>(((B14/10000)/PI())^(1/2))*2*1.08</f>
        <v>0.14001216799165719</v>
      </c>
      <c r="C68" s="3" t="s">
        <v>14</v>
      </c>
    </row>
    <row r="69" spans="1:3" x14ac:dyDescent="0.2">
      <c r="A69" s="32" t="s">
        <v>170</v>
      </c>
      <c r="B69" s="11">
        <f>(((B14/10000)/PI())^(1/2))*2</f>
        <v>0.12964089628857148</v>
      </c>
      <c r="C69" s="3" t="s">
        <v>14</v>
      </c>
    </row>
    <row r="70" spans="1:3" x14ac:dyDescent="0.2">
      <c r="B70" s="21">
        <f>B2*B69/2.35*1000</f>
        <v>358.58120250030407</v>
      </c>
      <c r="C70" s="3" t="s">
        <v>171</v>
      </c>
    </row>
    <row r="73" spans="1:3" ht="15" x14ac:dyDescent="0.2">
      <c r="A73" s="26"/>
    </row>
    <row r="74" spans="1:3" ht="15" x14ac:dyDescent="0.2">
      <c r="A74" s="26"/>
    </row>
    <row r="75" spans="1:3" ht="15" x14ac:dyDescent="0.2">
      <c r="A75" s="26"/>
    </row>
    <row r="76" spans="1:3" ht="15" x14ac:dyDescent="0.2">
      <c r="A76" s="26"/>
    </row>
    <row r="77" spans="1:3" ht="15" x14ac:dyDescent="0.2">
      <c r="A77" s="26"/>
    </row>
    <row r="78" spans="1:3" ht="15" x14ac:dyDescent="0.2">
      <c r="A78" s="26"/>
    </row>
    <row r="79" spans="1:3" ht="15" x14ac:dyDescent="0.2">
      <c r="A79" s="26"/>
    </row>
    <row r="80" spans="1:3" ht="15" x14ac:dyDescent="0.2">
      <c r="A80" s="26"/>
    </row>
    <row r="81" spans="1:3" ht="15" x14ac:dyDescent="0.2">
      <c r="A81" s="26"/>
    </row>
    <row r="82" spans="1:3" ht="15" x14ac:dyDescent="0.2">
      <c r="A82" s="26"/>
    </row>
    <row r="83" spans="1:3" ht="15" x14ac:dyDescent="0.2">
      <c r="A83" s="26"/>
    </row>
    <row r="84" spans="1:3" ht="15" x14ac:dyDescent="0.2">
      <c r="A84" s="26"/>
    </row>
    <row r="86" spans="1:3" ht="15" x14ac:dyDescent="0.2">
      <c r="A86" s="26"/>
    </row>
    <row r="87" spans="1:3" ht="15" x14ac:dyDescent="0.2">
      <c r="A87" s="26"/>
      <c r="C87" s="1"/>
    </row>
    <row r="88" spans="1:3" ht="15" x14ac:dyDescent="0.2">
      <c r="A88" s="26"/>
      <c r="C88" s="1"/>
    </row>
    <row r="89" spans="1:3" ht="15" x14ac:dyDescent="0.2">
      <c r="A89" s="26"/>
      <c r="C89" s="1"/>
    </row>
    <row r="90" spans="1:3" ht="15" x14ac:dyDescent="0.2">
      <c r="A90" s="26"/>
    </row>
    <row r="91" spans="1:3" ht="15" x14ac:dyDescent="0.2">
      <c r="A91" s="26"/>
      <c r="C91" s="26"/>
    </row>
    <row r="92" spans="1:3" ht="15" x14ac:dyDescent="0.2">
      <c r="A92" s="26"/>
      <c r="C92" s="26"/>
    </row>
    <row r="93" spans="1:3" ht="15" x14ac:dyDescent="0.2">
      <c r="A93" s="26"/>
      <c r="C93" s="26"/>
    </row>
    <row r="94" spans="1:3" ht="15" x14ac:dyDescent="0.2">
      <c r="A94" s="26"/>
      <c r="C94" s="1"/>
    </row>
  </sheetData>
  <mergeCells count="1">
    <mergeCell ref="A1:C1"/>
  </mergeCells>
  <conditionalFormatting sqref="K21">
    <cfRule type="containsErrors" dxfId="14" priority="3">
      <formula>ISERROR(K21)</formula>
    </cfRule>
  </conditionalFormatting>
  <conditionalFormatting sqref="K22">
    <cfRule type="containsErrors" dxfId="13" priority="2">
      <formula>ISERROR(K22)</formula>
    </cfRule>
  </conditionalFormatting>
  <conditionalFormatting sqref="B18:B19">
    <cfRule type="containsErrors" dxfId="12" priority="1">
      <formula>ISERROR(B18)</formula>
    </cfRule>
  </conditionalFormatting>
  <dataValidations count="2">
    <dataValidation type="list" allowBlank="1" showInputMessage="1" showErrorMessage="1" sqref="B4" xr:uid="{00000000-0002-0000-0000-000000000000}">
      <formula1>"Série,Parallèle"</formula1>
    </dataValidation>
    <dataValidation type="list" allowBlank="1" showInputMessage="1" showErrorMessage="1" sqref="B52" xr:uid="{00000000-0002-0000-0000-000001000000}">
      <formula1>"Oui,Non"</formula1>
    </dataValidation>
  </dataValidations>
  <pageMargins left="0.70866141732283472" right="0.70866141732283472" top="0.74803149606299213" bottom="0.74803149606299213" header="0.31496062992125984" footer="0.31496062992125984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2:G24"/>
  <sheetViews>
    <sheetView workbookViewId="0">
      <selection activeCell="B7" sqref="B7"/>
    </sheetView>
  </sheetViews>
  <sheetFormatPr baseColWidth="10" defaultRowHeight="12.75" x14ac:dyDescent="0.2"/>
  <cols>
    <col min="1" max="1" width="14.5703125" style="3" bestFit="1" customWidth="1"/>
    <col min="2" max="2" width="12.5703125" style="3" bestFit="1" customWidth="1"/>
    <col min="3" max="3" width="4.7109375" style="3" customWidth="1"/>
    <col min="4" max="16384" width="11.42578125" style="3"/>
  </cols>
  <sheetData>
    <row r="2" spans="1:3" ht="13.5" thickBot="1" x14ac:dyDescent="0.25"/>
    <row r="3" spans="1:3" ht="13.5" thickBot="1" x14ac:dyDescent="0.25">
      <c r="A3" s="2" t="s">
        <v>45</v>
      </c>
      <c r="B3" s="17">
        <f>B7*B5/B6</f>
        <v>122.0073298097991</v>
      </c>
      <c r="C3" s="3" t="s">
        <v>9</v>
      </c>
    </row>
    <row r="5" spans="1:3" x14ac:dyDescent="0.2">
      <c r="A5" s="2" t="s">
        <v>53</v>
      </c>
      <c r="B5" s="5">
        <f>'Caractéristique HP'!B33</f>
        <v>85.202052181630663</v>
      </c>
      <c r="C5" s="3" t="s">
        <v>9</v>
      </c>
    </row>
    <row r="6" spans="1:3" x14ac:dyDescent="0.2">
      <c r="A6" s="2" t="s">
        <v>55</v>
      </c>
      <c r="B6" s="4">
        <f>'Caractéristique HP'!B36</f>
        <v>0.4937232130751445</v>
      </c>
    </row>
    <row r="7" spans="1:3" x14ac:dyDescent="0.2">
      <c r="A7" s="2" t="s">
        <v>48</v>
      </c>
      <c r="B7" s="92">
        <v>0.70699999999999996</v>
      </c>
      <c r="C7" t="str">
        <f>(IF(B7=0.5,"Linkwicz-Riley",IF(B7=0.577,"Bessel",IF(B7=0.707,"Butterworth","Autre"))))</f>
        <v>Butterworth</v>
      </c>
    </row>
    <row r="8" spans="1:3" ht="13.5" thickBot="1" x14ac:dyDescent="0.25"/>
    <row r="9" spans="1:3" ht="13.5" thickBot="1" x14ac:dyDescent="0.25">
      <c r="A9" s="2" t="s">
        <v>57</v>
      </c>
      <c r="B9" s="17">
        <f>B11/(((B13/B12)^2)-1)</f>
        <v>7.2288301422403869</v>
      </c>
      <c r="C9" s="3" t="s">
        <v>25</v>
      </c>
    </row>
    <row r="11" spans="1:3" x14ac:dyDescent="0.2">
      <c r="A11" s="3" t="s">
        <v>104</v>
      </c>
      <c r="B11" s="5">
        <f>'Caractéristique HP'!B23</f>
        <v>7.5942942943981198</v>
      </c>
      <c r="C11" s="3" t="s">
        <v>25</v>
      </c>
    </row>
    <row r="12" spans="1:3" x14ac:dyDescent="0.2">
      <c r="A12" s="32" t="s">
        <v>53</v>
      </c>
      <c r="B12" s="4">
        <f>'Caractéristique HP'!B33</f>
        <v>85.202052181630663</v>
      </c>
    </row>
    <row r="13" spans="1:3" x14ac:dyDescent="0.2">
      <c r="A13" s="32" t="s">
        <v>45</v>
      </c>
      <c r="B13" s="4">
        <f>B3</f>
        <v>122.0073298097991</v>
      </c>
    </row>
    <row r="14" spans="1:3" ht="13.5" thickBot="1" x14ac:dyDescent="0.25"/>
    <row r="15" spans="1:3" ht="13.5" thickBot="1" x14ac:dyDescent="0.25">
      <c r="A15" s="3" t="s">
        <v>46</v>
      </c>
      <c r="B15" s="17">
        <f>B17*SQRT((((1/(B18^2))-2)+SQRT((((1/(B18^2))-2)^2)+4))/2)</f>
        <v>122.02575987363424</v>
      </c>
      <c r="C15" s="3" t="s">
        <v>9</v>
      </c>
    </row>
    <row r="17" spans="1:7" x14ac:dyDescent="0.2">
      <c r="A17" s="2" t="s">
        <v>45</v>
      </c>
      <c r="B17" s="5">
        <f>B3</f>
        <v>122.0073298097991</v>
      </c>
      <c r="C17" s="3" t="s">
        <v>9</v>
      </c>
    </row>
    <row r="18" spans="1:7" x14ac:dyDescent="0.2">
      <c r="A18" s="2" t="s">
        <v>48</v>
      </c>
      <c r="B18" s="4">
        <f>B7</f>
        <v>0.70699999999999996</v>
      </c>
    </row>
    <row r="19" spans="1:7" ht="13.5" thickBot="1" x14ac:dyDescent="0.25"/>
    <row r="20" spans="1:7" ht="13.5" thickBot="1" x14ac:dyDescent="0.25">
      <c r="A20" s="3" t="s">
        <v>60</v>
      </c>
      <c r="B20" s="17">
        <f>B22+B23+B24</f>
        <v>7.8119652379731761</v>
      </c>
      <c r="C20" s="5" t="s">
        <v>25</v>
      </c>
      <c r="D20" s="5"/>
      <c r="E20" s="5"/>
      <c r="F20" s="5"/>
      <c r="G20" s="5"/>
    </row>
    <row r="21" spans="1:7" x14ac:dyDescent="0.2">
      <c r="D21" s="4"/>
      <c r="F21" s="5"/>
    </row>
    <row r="22" spans="1:7" x14ac:dyDescent="0.2">
      <c r="A22" s="3" t="s">
        <v>57</v>
      </c>
      <c r="B22" s="5">
        <f>B9</f>
        <v>7.2288301422403869</v>
      </c>
      <c r="C22" s="3" t="s">
        <v>25</v>
      </c>
      <c r="D22" s="4"/>
      <c r="F22" s="5"/>
    </row>
    <row r="23" spans="1:7" ht="25.5" x14ac:dyDescent="0.2">
      <c r="A23" s="16" t="s">
        <v>49</v>
      </c>
      <c r="B23" s="7">
        <f>'Caractéristique HP'!B62</f>
        <v>0.8</v>
      </c>
      <c r="C23" s="3" t="s">
        <v>25</v>
      </c>
    </row>
    <row r="24" spans="1:7" ht="25.5" x14ac:dyDescent="0.2">
      <c r="A24" s="18" t="s">
        <v>61</v>
      </c>
      <c r="B24" s="4">
        <f>-B9*0.15*0.2</f>
        <v>-0.21686490426721161</v>
      </c>
      <c r="C24" s="3" t="s">
        <v>25</v>
      </c>
    </row>
  </sheetData>
  <dataValidations count="1">
    <dataValidation type="list" sqref="B7" xr:uid="{00000000-0002-0000-0100-000000000000}">
      <formula1>"0.5,0.577,0.707,0.8,1,1.2"</formula1>
    </dataValidation>
  </dataValidation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/>
  <dimension ref="A1:Q110"/>
  <sheetViews>
    <sheetView tabSelected="1" topLeftCell="A14" zoomScaleNormal="100" workbookViewId="0">
      <selection activeCell="K46" sqref="K46"/>
    </sheetView>
  </sheetViews>
  <sheetFormatPr baseColWidth="10" defaultRowHeight="12.75" x14ac:dyDescent="0.2"/>
  <cols>
    <col min="1" max="1" width="28" bestFit="1" customWidth="1"/>
    <col min="2" max="8" width="10.7109375" customWidth="1"/>
    <col min="9" max="9" width="11.85546875" bestFit="1" customWidth="1"/>
    <col min="10" max="10" width="10.7109375" customWidth="1"/>
    <col min="11" max="15" width="12.7109375" customWidth="1"/>
    <col min="16" max="16" width="12.5703125" bestFit="1" customWidth="1"/>
  </cols>
  <sheetData>
    <row r="1" spans="1:17" ht="13.5" customHeight="1" thickBot="1" x14ac:dyDescent="0.25">
      <c r="A1" s="1" t="s">
        <v>38</v>
      </c>
      <c r="B1" s="48">
        <f>B6*B4*B5^2</f>
        <v>14.809640055091274</v>
      </c>
      <c r="C1" t="s">
        <v>25</v>
      </c>
      <c r="E1" s="111" t="s">
        <v>125</v>
      </c>
      <c r="F1" s="111"/>
      <c r="G1" s="111"/>
      <c r="H1" s="111"/>
      <c r="K1" s="112" t="s">
        <v>191</v>
      </c>
      <c r="L1" s="113"/>
      <c r="M1" s="114"/>
    </row>
    <row r="2" spans="1:17" ht="13.5" thickBot="1" x14ac:dyDescent="0.25">
      <c r="A2" s="31" t="s">
        <v>119</v>
      </c>
      <c r="B2" s="87">
        <v>14</v>
      </c>
      <c r="C2" t="s">
        <v>25</v>
      </c>
      <c r="E2" s="111"/>
      <c r="F2" s="111"/>
      <c r="G2" s="111"/>
      <c r="H2" s="111"/>
      <c r="K2" s="86" t="s">
        <v>193</v>
      </c>
      <c r="L2" s="85" t="s">
        <v>192</v>
      </c>
      <c r="M2" s="83" t="s">
        <v>190</v>
      </c>
      <c r="O2" s="106" t="s">
        <v>193</v>
      </c>
      <c r="P2" s="107" t="s">
        <v>192</v>
      </c>
      <c r="Q2" s="108" t="s">
        <v>190</v>
      </c>
    </row>
    <row r="3" spans="1:17" ht="12.75" customHeight="1" x14ac:dyDescent="0.2">
      <c r="E3" s="111"/>
      <c r="F3" s="111"/>
      <c r="G3" s="111"/>
      <c r="H3" s="111"/>
      <c r="J3" s="80">
        <v>90</v>
      </c>
      <c r="K3" s="77">
        <v>17</v>
      </c>
      <c r="L3" s="75">
        <v>10.1</v>
      </c>
      <c r="M3" s="76">
        <v>5.4</v>
      </c>
      <c r="O3" s="109">
        <f>0.552318*EXP(0.03807*B40)</f>
        <v>30.075734636451461</v>
      </c>
      <c r="P3" s="109">
        <f>0.299132*EXP(0.039122*B40)</f>
        <v>18.191231068651629</v>
      </c>
      <c r="Q3" s="109">
        <f>0.220239*EXP(0.035565*B40)</f>
        <v>9.2191518337937097</v>
      </c>
    </row>
    <row r="4" spans="1:17" x14ac:dyDescent="0.2">
      <c r="A4" t="s">
        <v>104</v>
      </c>
      <c r="B4" s="10">
        <f>'Caractéristique HP'!$B$23</f>
        <v>7.5942942943981198</v>
      </c>
      <c r="C4" t="s">
        <v>25</v>
      </c>
      <c r="E4" s="111"/>
      <c r="F4" s="111"/>
      <c r="G4" s="111"/>
      <c r="H4" s="111"/>
      <c r="J4" s="81">
        <v>95</v>
      </c>
      <c r="K4" s="78">
        <v>20.5</v>
      </c>
      <c r="L4" s="44">
        <v>12.3</v>
      </c>
      <c r="M4" s="72">
        <v>6.5</v>
      </c>
    </row>
    <row r="5" spans="1:17" x14ac:dyDescent="0.2">
      <c r="A5" t="s">
        <v>55</v>
      </c>
      <c r="B5" s="11">
        <f>'Caractéristique HP'!$B$36</f>
        <v>0.4937232130751445</v>
      </c>
      <c r="E5" s="111"/>
      <c r="F5" s="111"/>
      <c r="G5" s="111"/>
      <c r="H5" s="111"/>
      <c r="J5" s="81">
        <v>100</v>
      </c>
      <c r="K5" s="78">
        <v>24.9</v>
      </c>
      <c r="L5" s="44">
        <v>15</v>
      </c>
      <c r="M5" s="72">
        <v>7.7</v>
      </c>
    </row>
    <row r="6" spans="1:17" x14ac:dyDescent="0.2">
      <c r="A6" s="31" t="s">
        <v>123</v>
      </c>
      <c r="B6" s="88">
        <v>8</v>
      </c>
      <c r="E6" s="111"/>
      <c r="F6" s="111"/>
      <c r="G6" s="111"/>
      <c r="H6" s="111"/>
      <c r="J6" s="81">
        <v>105</v>
      </c>
      <c r="K6" s="78">
        <v>30.1</v>
      </c>
      <c r="L6" s="44">
        <v>18.2</v>
      </c>
      <c r="M6" s="72">
        <v>9.1999999999999993</v>
      </c>
    </row>
    <row r="7" spans="1:17" x14ac:dyDescent="0.2">
      <c r="A7" s="31" t="s">
        <v>71</v>
      </c>
      <c r="B7" s="14">
        <f>B2/(B4*B5^2)</f>
        <v>7.5626416025888838</v>
      </c>
      <c r="H7" s="41"/>
      <c r="J7" s="81">
        <v>110</v>
      </c>
      <c r="K7" s="78">
        <v>36.4</v>
      </c>
      <c r="L7" s="44">
        <v>22.1</v>
      </c>
      <c r="M7" s="72">
        <v>11</v>
      </c>
    </row>
    <row r="8" spans="1:17" ht="13.5" thickBot="1" x14ac:dyDescent="0.25">
      <c r="E8" s="2" t="s">
        <v>31</v>
      </c>
      <c r="F8" s="4">
        <f>'Caractéristique HP'!G3</f>
        <v>343.70699999999999</v>
      </c>
      <c r="G8" s="2" t="s">
        <v>15</v>
      </c>
      <c r="J8" s="81">
        <v>115</v>
      </c>
      <c r="K8" s="78">
        <v>44</v>
      </c>
      <c r="L8" s="44">
        <v>26.9</v>
      </c>
      <c r="M8" s="72">
        <v>13.1</v>
      </c>
    </row>
    <row r="9" spans="1:17" ht="13.5" thickBot="1" x14ac:dyDescent="0.25">
      <c r="A9" s="1" t="s">
        <v>37</v>
      </c>
      <c r="B9" s="12">
        <f>0.44*B12/B13</f>
        <v>75.931011479931556</v>
      </c>
      <c r="C9" t="s">
        <v>9</v>
      </c>
      <c r="E9" s="6" t="s">
        <v>13</v>
      </c>
      <c r="F9" s="4">
        <f>'Caractéristique HP'!G4</f>
        <v>1.194</v>
      </c>
      <c r="G9" s="2" t="s">
        <v>16</v>
      </c>
      <c r="J9" s="82">
        <v>120</v>
      </c>
      <c r="K9" s="79">
        <v>53.2</v>
      </c>
      <c r="L9" s="73">
        <v>32.700000000000003</v>
      </c>
      <c r="M9" s="74">
        <v>15.8</v>
      </c>
    </row>
    <row r="10" spans="1:17" x14ac:dyDescent="0.2">
      <c r="A10" s="31" t="s">
        <v>118</v>
      </c>
      <c r="B10" s="87">
        <v>80</v>
      </c>
    </row>
    <row r="11" spans="1:17" x14ac:dyDescent="0.2">
      <c r="E11" s="44" t="s">
        <v>186</v>
      </c>
      <c r="F11" s="89">
        <v>800</v>
      </c>
      <c r="G11" s="71">
        <f>F8/G12*1000</f>
        <v>1562.3045454545454</v>
      </c>
      <c r="H11" t="s">
        <v>9</v>
      </c>
    </row>
    <row r="12" spans="1:17" x14ac:dyDescent="0.2">
      <c r="A12" t="s">
        <v>53</v>
      </c>
      <c r="B12" s="10">
        <f>'Caractéristique HP'!$B$33</f>
        <v>85.202052181630663</v>
      </c>
      <c r="C12" t="s">
        <v>9</v>
      </c>
      <c r="E12" s="44" t="s">
        <v>106</v>
      </c>
      <c r="F12" s="45">
        <f>F8/F11*1000</f>
        <v>429.63374999999996</v>
      </c>
      <c r="G12" s="90">
        <v>220</v>
      </c>
      <c r="H12" t="s">
        <v>33</v>
      </c>
    </row>
    <row r="13" spans="1:17" x14ac:dyDescent="0.2">
      <c r="A13" s="31" t="s">
        <v>55</v>
      </c>
      <c r="B13" s="11">
        <f>'Caractéristique HP'!$B$36</f>
        <v>0.4937232130751445</v>
      </c>
      <c r="C13" s="31"/>
    </row>
    <row r="14" spans="1:17" ht="13.5" thickBot="1" x14ac:dyDescent="0.25">
      <c r="E14" s="84" t="s">
        <v>10</v>
      </c>
      <c r="F14" s="84" t="s">
        <v>186</v>
      </c>
      <c r="G14" t="s">
        <v>194</v>
      </c>
    </row>
    <row r="15" spans="1:17" ht="13.5" thickBot="1" x14ac:dyDescent="0.25">
      <c r="A15" s="1" t="s">
        <v>81</v>
      </c>
      <c r="B15" s="12">
        <f>(B18/B19)^0.48*B17</f>
        <v>63.524691000594743</v>
      </c>
      <c r="C15" t="s">
        <v>9</v>
      </c>
      <c r="E15" s="88">
        <v>444</v>
      </c>
      <c r="F15" s="21">
        <f>$F$8/(E15/1000)</f>
        <v>774.11486486486478</v>
      </c>
    </row>
    <row r="16" spans="1:17" x14ac:dyDescent="0.2">
      <c r="D16">
        <v>4</v>
      </c>
      <c r="E16" s="21">
        <f>$F$8/F16*1000</f>
        <v>1749.145038167939</v>
      </c>
      <c r="F16" s="88">
        <v>196.5</v>
      </c>
      <c r="G16" s="21">
        <f>E16/D16</f>
        <v>437.28625954198475</v>
      </c>
    </row>
    <row r="17" spans="1:8" x14ac:dyDescent="0.2">
      <c r="A17" t="s">
        <v>53</v>
      </c>
      <c r="B17" s="10">
        <f>'Caractéristique HP'!$B$33</f>
        <v>85.202052181630663</v>
      </c>
      <c r="C17" t="s">
        <v>9</v>
      </c>
      <c r="D17">
        <v>2</v>
      </c>
      <c r="E17" s="21">
        <f t="shared" ref="E17" si="0">$F$8/F17*1000</f>
        <v>859.26749999999993</v>
      </c>
      <c r="F17" s="88">
        <v>400</v>
      </c>
      <c r="G17" s="21">
        <f>E17/D17</f>
        <v>429.63374999999996</v>
      </c>
    </row>
    <row r="18" spans="1:8" x14ac:dyDescent="0.2">
      <c r="A18" s="31" t="s">
        <v>104</v>
      </c>
      <c r="B18" s="10">
        <f>'Caractéristique HP'!$B$23</f>
        <v>7.5942942943981198</v>
      </c>
      <c r="C18" s="31" t="s">
        <v>25</v>
      </c>
    </row>
    <row r="19" spans="1:8" x14ac:dyDescent="0.2">
      <c r="A19" s="31" t="s">
        <v>38</v>
      </c>
      <c r="B19" s="10">
        <f>IF(B2="",B1,B2)</f>
        <v>14</v>
      </c>
      <c r="C19" s="31" t="s">
        <v>25</v>
      </c>
      <c r="G19" t="s">
        <v>126</v>
      </c>
    </row>
    <row r="20" spans="1:8" ht="13.5" thickBot="1" x14ac:dyDescent="0.25"/>
    <row r="21" spans="1:8" ht="13.5" thickBot="1" x14ac:dyDescent="0.25">
      <c r="A21" s="31" t="s">
        <v>113</v>
      </c>
      <c r="B21" s="12">
        <f>((((343.4/(2*PI()*B32))^2)*(B31/10000)/(B27/1000))-IF(B28&lt;2,(0.825*((B31/10000)/PI())^(1/2)+0.613*((B31/10000)/PI())^(1/2)),(1+(3*PI()/16*B25/B29))*(((B31/10000)/PI())^(1/2))))*1000*0.8</f>
        <v>35.268972428290773</v>
      </c>
      <c r="C21" t="s">
        <v>33</v>
      </c>
      <c r="D21" s="12">
        <f>((((343.4/(2*PI()*D32))^2)*(D31/10000)/(D27/1000))-IF(D28&lt;2,(0.825*((D31/10000)/PI())^(1/2)+0.613*((D31/10000)/PI())^(1/2)),(1+(3*PI()/16*D25/D29))*(((D31/10000)/PI())^(1/2))))*1000*0.8</f>
        <v>60.037770677467655</v>
      </c>
      <c r="E21" t="s">
        <v>33</v>
      </c>
      <c r="G21" s="12">
        <f>((((343.4/(2*PI()*G32))^2)*(G31/10000)/(G27/1000))-IF(G28&lt;2,((-0.0000218829*G26^3+0.0015760126*G26^2-0.0425675552*G26+1.0294595883)*0.825*(-0.0000260538*G26^3 + 0.0016362224*G26^2 - 0.0427820821*G26 + 1.0296108606)*((G31/10000)/PI())^(1/2)),(1+(3*PI()/16*G25/G29))*(((G31/10000)/PI())^(1/2))))*1000*0.8</f>
        <v>67.104120701260783</v>
      </c>
      <c r="H21" t="s">
        <v>33</v>
      </c>
    </row>
    <row r="23" spans="1:8" x14ac:dyDescent="0.2">
      <c r="A23" s="31" t="s">
        <v>144</v>
      </c>
      <c r="B23" s="91">
        <v>63</v>
      </c>
      <c r="C23" s="1" t="s">
        <v>33</v>
      </c>
      <c r="D23" s="91">
        <v>75</v>
      </c>
      <c r="E23" s="1" t="s">
        <v>33</v>
      </c>
      <c r="F23" t="s">
        <v>10</v>
      </c>
      <c r="G23" s="87">
        <f>230-36</f>
        <v>194</v>
      </c>
      <c r="H23" t="s">
        <v>33</v>
      </c>
    </row>
    <row r="24" spans="1:8" x14ac:dyDescent="0.2">
      <c r="A24" s="31" t="s">
        <v>178</v>
      </c>
      <c r="B24" s="10">
        <f>IF(B23&lt;101,3,IF(B23=110,3.2,IF(B23=125,3.2,IF(B23=140,3.5,IF(B23=160,4,IF(B23=200,4.9,6.2))))))</f>
        <v>3</v>
      </c>
      <c r="C24" s="10" t="s">
        <v>33</v>
      </c>
      <c r="D24" s="10">
        <f>IF(D23&lt;101,3,IF(D23=110,3.2,IF(D23=125,3.2,IF(D23=140,3.5,IF(D23=160,4,IF(D23=200,4.9,6.2))))))</f>
        <v>3</v>
      </c>
      <c r="E24" s="31" t="s">
        <v>33</v>
      </c>
      <c r="F24" t="s">
        <v>76</v>
      </c>
      <c r="G24" s="87">
        <v>21</v>
      </c>
      <c r="H24" t="s">
        <v>33</v>
      </c>
    </row>
    <row r="25" spans="1:8" x14ac:dyDescent="0.2">
      <c r="A25" s="31" t="s">
        <v>179</v>
      </c>
      <c r="B25" s="10">
        <f>B23-(2*B24)</f>
        <v>57</v>
      </c>
      <c r="C25" s="10" t="s">
        <v>33</v>
      </c>
      <c r="D25" s="10">
        <f>D23-(2*D24)</f>
        <v>69</v>
      </c>
      <c r="E25" s="31" t="s">
        <v>33</v>
      </c>
      <c r="F25" t="s">
        <v>177</v>
      </c>
      <c r="G25" s="10">
        <f>1.3*((((G23*G24)^5)/((G23+G24)^2))^(1/8))</f>
        <v>61.24870035018926</v>
      </c>
      <c r="H25" t="s">
        <v>33</v>
      </c>
    </row>
    <row r="26" spans="1:8" x14ac:dyDescent="0.2">
      <c r="A26" s="31" t="s">
        <v>187</v>
      </c>
      <c r="B26" s="87"/>
      <c r="C26" s="10" t="s">
        <v>33</v>
      </c>
      <c r="D26" s="87" t="str">
        <f>IF($B26="","",$B26)</f>
        <v/>
      </c>
      <c r="E26" s="31" t="s">
        <v>33</v>
      </c>
      <c r="F26" t="s">
        <v>129</v>
      </c>
      <c r="G26" s="14">
        <f>G23/G24</f>
        <v>9.2380952380952372</v>
      </c>
    </row>
    <row r="27" spans="1:8" x14ac:dyDescent="0.2">
      <c r="A27" s="1" t="s">
        <v>38</v>
      </c>
      <c r="B27" s="10">
        <f>IF($B$2="",$B$1,$B$2)</f>
        <v>14</v>
      </c>
      <c r="C27" s="31" t="s">
        <v>25</v>
      </c>
      <c r="D27" s="10">
        <f>IF($B$2="",$B$1,$B$2)</f>
        <v>14</v>
      </c>
      <c r="E27" s="31" t="s">
        <v>25</v>
      </c>
      <c r="G27" s="10">
        <f>IF($B$2="",$B$1,$B$2)</f>
        <v>14</v>
      </c>
      <c r="H27" t="s">
        <v>25</v>
      </c>
    </row>
    <row r="28" spans="1:8" x14ac:dyDescent="0.2">
      <c r="A28" s="1" t="s">
        <v>69</v>
      </c>
      <c r="B28" s="88">
        <v>1</v>
      </c>
      <c r="C28" s="1"/>
      <c r="D28" s="88">
        <v>1</v>
      </c>
      <c r="E28" s="1"/>
      <c r="G28" s="88">
        <v>1</v>
      </c>
    </row>
    <row r="29" spans="1:8" x14ac:dyDescent="0.2">
      <c r="A29" s="31" t="s">
        <v>106</v>
      </c>
      <c r="B29" s="88">
        <v>90</v>
      </c>
      <c r="C29" s="31" t="s">
        <v>33</v>
      </c>
      <c r="D29" s="88">
        <v>160</v>
      </c>
      <c r="E29" s="31" t="s">
        <v>33</v>
      </c>
      <c r="F29" s="31"/>
      <c r="G29" s="88">
        <v>250</v>
      </c>
      <c r="H29" t="s">
        <v>33</v>
      </c>
    </row>
    <row r="30" spans="1:8" x14ac:dyDescent="0.2">
      <c r="A30" s="31" t="s">
        <v>188</v>
      </c>
      <c r="B30" s="10">
        <f>$B$12*(B43/1000)*B41*0.8</f>
        <v>44.986683551900995</v>
      </c>
      <c r="C30" s="31" t="s">
        <v>20</v>
      </c>
      <c r="D30" s="10">
        <f>$B$12*(D43/1000)*D41*0.8</f>
        <v>44.986683551900995</v>
      </c>
      <c r="E30" s="31" t="s">
        <v>20</v>
      </c>
      <c r="F30" s="31"/>
      <c r="G30" s="10">
        <f>$B$12*(G43/1000)*G41*0.8</f>
        <v>44.986683551900995</v>
      </c>
      <c r="H30" t="s">
        <v>20</v>
      </c>
    </row>
    <row r="31" spans="1:8" x14ac:dyDescent="0.2">
      <c r="A31" s="1" t="s">
        <v>72</v>
      </c>
      <c r="B31" s="10">
        <f>IF(B26="",(((B25/2)^2*PI()/100)*B28),(((B26/2)^2*PI()/100)*B28))</f>
        <v>25.517586328783096</v>
      </c>
      <c r="C31" s="1" t="s">
        <v>20</v>
      </c>
      <c r="D31" s="10">
        <f>IF(D26="",(((D25/2)^2*PI()/100)*D28),(((D26/2)^2*PI()/100)*D28))</f>
        <v>37.392806559352515</v>
      </c>
      <c r="E31" s="1" t="s">
        <v>20</v>
      </c>
      <c r="G31" s="10">
        <f>(((G25/2)^2*PI()/100)*G28)</f>
        <v>29.463452577319817</v>
      </c>
      <c r="H31" t="s">
        <v>20</v>
      </c>
    </row>
    <row r="32" spans="1:8" x14ac:dyDescent="0.2">
      <c r="A32" s="31" t="s">
        <v>37</v>
      </c>
      <c r="B32" s="10">
        <f>IF($B$10="",$B$9,$B$10)</f>
        <v>80</v>
      </c>
      <c r="C32" s="31" t="s">
        <v>9</v>
      </c>
      <c r="D32" s="10">
        <f>IF($B$10="",$B$9,$B$10)</f>
        <v>80</v>
      </c>
      <c r="E32" s="31" t="s">
        <v>9</v>
      </c>
      <c r="G32" s="10">
        <f>IF($B$10="",$B$9,$B$10)</f>
        <v>80</v>
      </c>
      <c r="H32" s="31" t="s">
        <v>9</v>
      </c>
    </row>
    <row r="33" spans="1:12" x14ac:dyDescent="0.2">
      <c r="A33" s="31" t="s">
        <v>127</v>
      </c>
      <c r="B33" s="14">
        <f>B31/B41</f>
        <v>0.1933150479453265</v>
      </c>
      <c r="C33" s="31"/>
      <c r="D33" s="14">
        <f>D31/D41</f>
        <v>0.28327883757085237</v>
      </c>
      <c r="E33" s="31"/>
      <c r="G33" s="14">
        <f>G31/D41</f>
        <v>0.22320797407060466</v>
      </c>
      <c r="H33" s="31"/>
    </row>
    <row r="34" spans="1:12" x14ac:dyDescent="0.2">
      <c r="A34" s="31"/>
      <c r="B34" s="14"/>
      <c r="C34" s="31"/>
      <c r="D34" s="14"/>
      <c r="E34" s="31"/>
      <c r="H34" s="31"/>
    </row>
    <row r="35" spans="1:12" x14ac:dyDescent="0.2">
      <c r="A35" s="31" t="s">
        <v>197</v>
      </c>
      <c r="B35" s="105">
        <v>82.8</v>
      </c>
      <c r="C35" s="31" t="s">
        <v>9</v>
      </c>
      <c r="D35" s="105">
        <f>IF($B35="","",$B35)</f>
        <v>82.8</v>
      </c>
      <c r="E35" s="31" t="s">
        <v>9</v>
      </c>
      <c r="G35" s="105">
        <f>IF($B35="","",$B35)</f>
        <v>82.8</v>
      </c>
      <c r="H35" s="31" t="s">
        <v>9</v>
      </c>
    </row>
    <row r="36" spans="1:12" ht="13.5" thickBot="1" x14ac:dyDescent="0.25">
      <c r="G36" s="10"/>
    </row>
    <row r="37" spans="1:12" ht="13.5" thickBot="1" x14ac:dyDescent="0.25">
      <c r="A37" s="31" t="s">
        <v>114</v>
      </c>
      <c r="B37" s="12">
        <f>IF(B44="",(26.16*B46+7.75)*((B41)/B45)*(B43/1000)*B42,(26.16*B46+7.75)*((B41)/B45)*(B44/1000)*B42)</f>
        <v>20.525217767315119</v>
      </c>
      <c r="C37" t="s">
        <v>15</v>
      </c>
      <c r="D37" s="12">
        <f>IF(D44="",(26.16*D46+7.75)*((D41)/D45)*(D43/1000)*D42,(26.16*D46+7.75)*((D41)/D45)*(D44/1000)*D42)</f>
        <v>14.006812124765137</v>
      </c>
      <c r="E37" t="s">
        <v>15</v>
      </c>
      <c r="G37" s="12">
        <f>IF(G44="",(26.16*G46+7.75)*((G41)/G45)*(G43/1000)*G42,(26.16*G46+7.75)*((G41)/G45)*(G44/1000)*G42)</f>
        <v>17.776396534658268</v>
      </c>
      <c r="H37" t="s">
        <v>15</v>
      </c>
    </row>
    <row r="38" spans="1:12" x14ac:dyDescent="0.2">
      <c r="A38" s="1"/>
    </row>
    <row r="39" spans="1:12" x14ac:dyDescent="0.2">
      <c r="A39" s="31" t="s">
        <v>84</v>
      </c>
      <c r="B39" s="10">
        <f>'Caractéristique HP'!$B$53</f>
        <v>110.77038523462403</v>
      </c>
      <c r="C39" s="31" t="s">
        <v>62</v>
      </c>
      <c r="D39" s="10">
        <f>'Caractéristique HP'!$B$53</f>
        <v>110.77038523462403</v>
      </c>
      <c r="E39" s="31" t="s">
        <v>62</v>
      </c>
      <c r="G39" s="10">
        <f>'Caractéristique HP'!$B$53</f>
        <v>110.77038523462403</v>
      </c>
      <c r="H39" s="31" t="s">
        <v>62</v>
      </c>
    </row>
    <row r="40" spans="1:12" x14ac:dyDescent="0.2">
      <c r="A40" t="s">
        <v>189</v>
      </c>
      <c r="B40" s="87">
        <v>105</v>
      </c>
      <c r="C40" s="31" t="s">
        <v>62</v>
      </c>
      <c r="D40" s="20">
        <f>IF($B40="","",$B40)</f>
        <v>105</v>
      </c>
      <c r="E40" s="31" t="s">
        <v>62</v>
      </c>
      <c r="G40" s="20">
        <f>IF($B40="","",$B40)</f>
        <v>105</v>
      </c>
      <c r="H40" s="31"/>
    </row>
    <row r="41" spans="1:12" x14ac:dyDescent="0.2">
      <c r="A41" t="s">
        <v>105</v>
      </c>
      <c r="B41">
        <f>'Caractéristique HP'!$B$15</f>
        <v>132</v>
      </c>
      <c r="C41" t="s">
        <v>20</v>
      </c>
      <c r="D41">
        <f>'Caractéristique HP'!$B$15</f>
        <v>132</v>
      </c>
      <c r="E41" t="s">
        <v>20</v>
      </c>
      <c r="G41">
        <f>'Caractéristique HP'!$B$15</f>
        <v>132</v>
      </c>
      <c r="H41" t="s">
        <v>20</v>
      </c>
      <c r="K41">
        <v>1</v>
      </c>
      <c r="L41">
        <v>0.98799999999999999</v>
      </c>
    </row>
    <row r="42" spans="1:12" x14ac:dyDescent="0.2">
      <c r="A42" t="s">
        <v>37</v>
      </c>
      <c r="B42" s="10">
        <f>IF($B$10="",$B$9,$B$10)</f>
        <v>80</v>
      </c>
      <c r="C42" t="s">
        <v>9</v>
      </c>
      <c r="D42" s="10">
        <f>IF($B$10="",$B$9,$B$10)</f>
        <v>80</v>
      </c>
      <c r="E42" t="s">
        <v>9</v>
      </c>
      <c r="G42" s="10">
        <f>IF($B$10="",$B$9,$B$10)</f>
        <v>80</v>
      </c>
      <c r="H42" t="s">
        <v>9</v>
      </c>
      <c r="K42">
        <v>3.5</v>
      </c>
      <c r="L42">
        <v>0.9</v>
      </c>
    </row>
    <row r="43" spans="1:12" x14ac:dyDescent="0.2">
      <c r="A43" t="s">
        <v>32</v>
      </c>
      <c r="B43">
        <f>'Caractéristique HP'!$B$16</f>
        <v>5</v>
      </c>
      <c r="C43" s="31" t="s">
        <v>33</v>
      </c>
      <c r="D43">
        <f>'Caractéristique HP'!$B$16</f>
        <v>5</v>
      </c>
      <c r="E43" s="31" t="s">
        <v>33</v>
      </c>
      <c r="G43">
        <f>'Caractéristique HP'!$B$16</f>
        <v>5</v>
      </c>
      <c r="H43" s="31" t="s">
        <v>33</v>
      </c>
      <c r="K43">
        <v>7</v>
      </c>
      <c r="L43">
        <v>0.8</v>
      </c>
    </row>
    <row r="44" spans="1:12" x14ac:dyDescent="0.2">
      <c r="A44" t="s">
        <v>176</v>
      </c>
      <c r="B44" s="88">
        <v>2.4</v>
      </c>
      <c r="C44" s="31" t="s">
        <v>33</v>
      </c>
      <c r="D44" s="20">
        <f>IF($B44="","",$B44)</f>
        <v>2.4</v>
      </c>
      <c r="E44" s="31" t="s">
        <v>33</v>
      </c>
      <c r="G44" s="20">
        <f>IF($B44="","",$B44)</f>
        <v>2.4</v>
      </c>
      <c r="H44" s="31" t="s">
        <v>33</v>
      </c>
      <c r="K44">
        <v>10</v>
      </c>
      <c r="L44">
        <v>0.74</v>
      </c>
    </row>
    <row r="45" spans="1:12" x14ac:dyDescent="0.2">
      <c r="A45" s="31" t="s">
        <v>41</v>
      </c>
      <c r="B45" s="10">
        <f>B31</f>
        <v>25.517586328783096</v>
      </c>
      <c r="C45" t="s">
        <v>20</v>
      </c>
      <c r="D45" s="10">
        <f>D31</f>
        <v>37.392806559352515</v>
      </c>
      <c r="E45" t="s">
        <v>20</v>
      </c>
      <c r="G45" s="10">
        <f>G31</f>
        <v>29.463452577319817</v>
      </c>
      <c r="H45" t="s">
        <v>20</v>
      </c>
      <c r="K45">
        <v>30</v>
      </c>
      <c r="L45">
        <v>0.57999999999999996</v>
      </c>
    </row>
    <row r="46" spans="1:12" x14ac:dyDescent="0.2">
      <c r="A46" t="s">
        <v>55</v>
      </c>
      <c r="B46" s="11">
        <f>'Caractéristique HP'!$B$36</f>
        <v>0.4937232130751445</v>
      </c>
      <c r="D46" s="11">
        <f>'Caractéristique HP'!$B$36</f>
        <v>0.4937232130751445</v>
      </c>
      <c r="G46" s="11">
        <f>'Caractéristique HP'!$B$36</f>
        <v>0.4937232130751445</v>
      </c>
    </row>
    <row r="47" spans="1:12" ht="13.5" thickBot="1" x14ac:dyDescent="0.25"/>
    <row r="48" spans="1:12" ht="13.5" thickBot="1" x14ac:dyDescent="0.25">
      <c r="A48" t="s">
        <v>88</v>
      </c>
      <c r="B48" s="13">
        <f>$F$8/(B21/1000)/2</f>
        <v>4872.6540119481579</v>
      </c>
      <c r="C48" t="s">
        <v>9</v>
      </c>
      <c r="D48" s="13">
        <f>$F$8/(D21/1000)/2</f>
        <v>2862.4230723559676</v>
      </c>
      <c r="E48" t="s">
        <v>9</v>
      </c>
      <c r="G48" s="13">
        <f>$F$8/(G21/1000)/2</f>
        <v>2560.9977182335856</v>
      </c>
      <c r="H48" t="s">
        <v>9</v>
      </c>
    </row>
    <row r="49" spans="1:8" ht="13.5" thickBot="1" x14ac:dyDescent="0.25">
      <c r="B49" s="11"/>
      <c r="D49" s="11"/>
      <c r="G49" s="11"/>
    </row>
    <row r="50" spans="1:8" ht="13.5" thickBot="1" x14ac:dyDescent="0.25">
      <c r="A50" t="s">
        <v>85</v>
      </c>
      <c r="B50" s="12">
        <f>-5+60*LOG(B37)+10*LOG(B31/10000)-25*LOG(293.15/273.15)+8.6*LOG($F$9)</f>
        <v>47.700682209942222</v>
      </c>
      <c r="C50" t="s">
        <v>43</v>
      </c>
      <c r="D50" s="12">
        <f>-5+60*LOG(D37)+10*LOG(D31/10000)-25*LOG(293.15/273.15)+8.6*LOG($F$9)</f>
        <v>39.403258703465845</v>
      </c>
      <c r="E50" t="s">
        <v>43</v>
      </c>
      <c r="G50" s="12">
        <f>-5+60*LOG(G37)+10*LOG(G31/10000)-25*LOG(293.15/273.15)+8.6*LOG($F$9)</f>
        <v>44.578480002888746</v>
      </c>
      <c r="H50" t="s">
        <v>43</v>
      </c>
    </row>
    <row r="51" spans="1:8" ht="13.5" thickBot="1" x14ac:dyDescent="0.25">
      <c r="B51" s="11"/>
      <c r="D51" s="11"/>
      <c r="G51" s="11"/>
    </row>
    <row r="52" spans="1:8" ht="13.5" thickBot="1" x14ac:dyDescent="0.25">
      <c r="A52" s="1" t="s">
        <v>87</v>
      </c>
      <c r="B52" s="52">
        <f>IF(B40="",B54,B40)-B55</f>
        <v>57.299317790057778</v>
      </c>
      <c r="C52" t="s">
        <v>62</v>
      </c>
      <c r="D52" s="52">
        <f>D54-D55</f>
        <v>65.596741296534162</v>
      </c>
      <c r="E52" t="s">
        <v>62</v>
      </c>
      <c r="G52" s="52">
        <f>G54-G55</f>
        <v>60.421519997111254</v>
      </c>
      <c r="H52" t="s">
        <v>62</v>
      </c>
    </row>
    <row r="54" spans="1:8" x14ac:dyDescent="0.2">
      <c r="A54" t="s">
        <v>84</v>
      </c>
      <c r="B54" s="10">
        <f>IF(B40="",B39,B40)</f>
        <v>105</v>
      </c>
      <c r="C54" s="31" t="s">
        <v>62</v>
      </c>
      <c r="D54" s="10">
        <f>IF(D40="",D39,D40)</f>
        <v>105</v>
      </c>
      <c r="E54" s="31" t="s">
        <v>62</v>
      </c>
      <c r="G54" s="10">
        <f>IF(G40="",G39,G40)</f>
        <v>105</v>
      </c>
      <c r="H54" s="31" t="s">
        <v>62</v>
      </c>
    </row>
    <row r="55" spans="1:8" x14ac:dyDescent="0.2">
      <c r="A55" t="s">
        <v>85</v>
      </c>
      <c r="B55" s="10">
        <f>B50</f>
        <v>47.700682209942222</v>
      </c>
      <c r="C55" t="s">
        <v>62</v>
      </c>
      <c r="D55" s="10">
        <f>D50</f>
        <v>39.403258703465845</v>
      </c>
      <c r="E55" t="s">
        <v>62</v>
      </c>
      <c r="G55" s="10">
        <f>G50</f>
        <v>44.578480002888746</v>
      </c>
      <c r="H55" t="s">
        <v>62</v>
      </c>
    </row>
    <row r="56" spans="1:8" ht="13.5" thickBot="1" x14ac:dyDescent="0.25">
      <c r="B56" s="10"/>
      <c r="D56" s="10"/>
      <c r="G56" s="10"/>
    </row>
    <row r="57" spans="1:8" ht="13.5" thickBot="1" x14ac:dyDescent="0.25">
      <c r="A57" t="s">
        <v>86</v>
      </c>
      <c r="B57" s="12">
        <f>1.5*B59</f>
        <v>19.446134443285722</v>
      </c>
      <c r="C57" t="s">
        <v>21</v>
      </c>
      <c r="D57" s="12">
        <f>1.5*D59</f>
        <v>19.446134443285722</v>
      </c>
      <c r="E57" t="s">
        <v>21</v>
      </c>
      <c r="G57" s="12">
        <f>1.5*G59</f>
        <v>19.446134443285722</v>
      </c>
      <c r="H57" t="s">
        <v>21</v>
      </c>
    </row>
    <row r="58" spans="1:8" x14ac:dyDescent="0.2">
      <c r="B58" t="s">
        <v>78</v>
      </c>
      <c r="D58" t="s">
        <v>78</v>
      </c>
      <c r="G58" t="s">
        <v>78</v>
      </c>
    </row>
    <row r="59" spans="1:8" x14ac:dyDescent="0.2">
      <c r="A59" t="s">
        <v>82</v>
      </c>
      <c r="B59" s="14">
        <f>(4*B60/PI())^0.5</f>
        <v>12.964089628857149</v>
      </c>
      <c r="C59" s="31" t="s">
        <v>21</v>
      </c>
      <c r="D59" s="14">
        <f>(4*D60/PI())^0.5</f>
        <v>12.964089628857149</v>
      </c>
      <c r="E59" s="31" t="s">
        <v>21</v>
      </c>
      <c r="G59" s="14">
        <f>(4*G60/PI())^0.5</f>
        <v>12.964089628857149</v>
      </c>
      <c r="H59" s="31" t="s">
        <v>21</v>
      </c>
    </row>
    <row r="60" spans="1:8" x14ac:dyDescent="0.2">
      <c r="A60" t="s">
        <v>105</v>
      </c>
      <c r="B60">
        <f>'Caractéristique HP'!$B$15</f>
        <v>132</v>
      </c>
      <c r="C60" s="31" t="s">
        <v>20</v>
      </c>
      <c r="D60">
        <f>'Caractéristique HP'!$B$15</f>
        <v>132</v>
      </c>
      <c r="E60" s="31" t="s">
        <v>20</v>
      </c>
      <c r="G60">
        <f>'Caractéristique HP'!$B$15</f>
        <v>132</v>
      </c>
      <c r="H60" s="31" t="s">
        <v>20</v>
      </c>
    </row>
    <row r="61" spans="1:8" ht="13.5" thickBot="1" x14ac:dyDescent="0.25"/>
    <row r="62" spans="1:8" ht="13.5" thickBot="1" x14ac:dyDescent="0.25">
      <c r="A62" s="1" t="s">
        <v>74</v>
      </c>
      <c r="B62" s="12">
        <f>IF($B$2="",$B$1,$B$2)+B65+(B66/-5)+B67+B68+B69</f>
        <v>14.432010906145996</v>
      </c>
      <c r="C62" s="1" t="s">
        <v>25</v>
      </c>
      <c r="D62" s="12">
        <f>IF($B$2="",$B$1,$B$2)+D65+(D66/-5)+D67+D68+D69</f>
        <v>14.58571718184416</v>
      </c>
      <c r="E62" s="1" t="s">
        <v>25</v>
      </c>
      <c r="G62" s="12">
        <f>IF($B$2="",$B$1,$B$2)+G65+(G66/-5)+G67+G68+G69</f>
        <v>14.72385396269031</v>
      </c>
      <c r="H62" s="1" t="s">
        <v>25</v>
      </c>
    </row>
    <row r="63" spans="1:8" x14ac:dyDescent="0.2">
      <c r="B63" s="11"/>
      <c r="D63" s="11"/>
      <c r="G63" s="11"/>
    </row>
    <row r="64" spans="1:8" x14ac:dyDescent="0.2">
      <c r="A64" s="31" t="s">
        <v>75</v>
      </c>
      <c r="B64" s="91">
        <v>18</v>
      </c>
      <c r="C64" s="31" t="s">
        <v>33</v>
      </c>
      <c r="D64" s="21">
        <f t="shared" ref="D64:D67" si="1">B64</f>
        <v>18</v>
      </c>
      <c r="E64" s="31" t="s">
        <v>33</v>
      </c>
      <c r="G64" s="21">
        <f>B64</f>
        <v>18</v>
      </c>
      <c r="H64" s="1" t="s">
        <v>33</v>
      </c>
    </row>
    <row r="65" spans="1:8" x14ac:dyDescent="0.2">
      <c r="A65" s="31" t="s">
        <v>98</v>
      </c>
      <c r="B65" s="10">
        <f>((B23/2)^2*PI())*B28*(B21-(B64+7))/1000000</f>
        <v>3.2010906145994514E-2</v>
      </c>
      <c r="C65" s="31" t="s">
        <v>25</v>
      </c>
      <c r="D65" s="10">
        <f>(((D23/2)^2*PI())*D28*(D21-(D64)))/1000000</f>
        <v>0.18571718184415989</v>
      </c>
      <c r="E65" s="31" t="s">
        <v>25</v>
      </c>
      <c r="G65" s="10">
        <f>(G23+2*G64)*(G24+G64)*(G21-2*G64+5)/1000000</f>
        <v>0.32385396269030919</v>
      </c>
      <c r="H65" s="1" t="s">
        <v>25</v>
      </c>
    </row>
    <row r="66" spans="1:8" x14ac:dyDescent="0.2">
      <c r="A66" s="31" t="s">
        <v>200</v>
      </c>
      <c r="B66" s="87">
        <v>2</v>
      </c>
      <c r="C66" s="31" t="s">
        <v>25</v>
      </c>
      <c r="D66" s="10">
        <f>B66</f>
        <v>2</v>
      </c>
      <c r="E66" s="31" t="s">
        <v>25</v>
      </c>
      <c r="G66" s="10">
        <f>B66</f>
        <v>2</v>
      </c>
      <c r="H66" s="1" t="s">
        <v>25</v>
      </c>
    </row>
    <row r="67" spans="1:8" x14ac:dyDescent="0.2">
      <c r="A67" s="31" t="s">
        <v>97</v>
      </c>
      <c r="B67" s="10">
        <f>'Caractéristique HP'!B61</f>
        <v>0.8</v>
      </c>
      <c r="C67" s="31" t="s">
        <v>25</v>
      </c>
      <c r="D67" s="10">
        <f t="shared" si="1"/>
        <v>0.8</v>
      </c>
      <c r="E67" s="31" t="s">
        <v>25</v>
      </c>
      <c r="G67" s="10">
        <f>B67</f>
        <v>0.8</v>
      </c>
      <c r="H67" s="1" t="s">
        <v>25</v>
      </c>
    </row>
    <row r="68" spans="1:8" x14ac:dyDescent="0.2">
      <c r="A68" s="31" t="s">
        <v>131</v>
      </c>
      <c r="B68" s="87">
        <v>0</v>
      </c>
      <c r="C68" s="31" t="s">
        <v>25</v>
      </c>
      <c r="D68" s="10">
        <f>B68</f>
        <v>0</v>
      </c>
      <c r="E68" s="31" t="s">
        <v>25</v>
      </c>
      <c r="G68" s="10">
        <f>B68</f>
        <v>0</v>
      </c>
      <c r="H68" s="31" t="s">
        <v>25</v>
      </c>
    </row>
    <row r="69" spans="1:8" x14ac:dyDescent="0.2">
      <c r="A69" s="31" t="s">
        <v>199</v>
      </c>
      <c r="B69" s="87">
        <v>0</v>
      </c>
      <c r="C69" s="31" t="s">
        <v>25</v>
      </c>
      <c r="D69" s="10">
        <f>B69</f>
        <v>0</v>
      </c>
      <c r="E69" s="31" t="s">
        <v>25</v>
      </c>
      <c r="G69" s="10">
        <f>B69</f>
        <v>0</v>
      </c>
      <c r="H69" s="31" t="s">
        <v>25</v>
      </c>
    </row>
    <row r="70" spans="1:8" ht="13.5" thickBot="1" x14ac:dyDescent="0.25"/>
    <row r="71" spans="1:8" ht="13.5" thickBot="1" x14ac:dyDescent="0.25">
      <c r="A71" s="31" t="s">
        <v>180</v>
      </c>
      <c r="B71" s="70">
        <f>B62-B65-B67-B68-B69-(B66/-5)</f>
        <v>14</v>
      </c>
      <c r="C71" s="31" t="s">
        <v>25</v>
      </c>
      <c r="D71" s="70">
        <f>D62-D65-D67-D68-D69-(D66/-5)</f>
        <v>14</v>
      </c>
      <c r="E71" t="s">
        <v>25</v>
      </c>
      <c r="G71" s="70">
        <f>G62-G65-G67-G68-G69-(G66/-5)</f>
        <v>14</v>
      </c>
      <c r="H71" t="s">
        <v>25</v>
      </c>
    </row>
    <row r="73" spans="1:8" x14ac:dyDescent="0.2">
      <c r="A73" s="6"/>
    </row>
    <row r="76" spans="1:8" x14ac:dyDescent="0.2">
      <c r="C76" s="31"/>
      <c r="D76" s="11"/>
      <c r="E76" s="58"/>
    </row>
    <row r="77" spans="1:8" x14ac:dyDescent="0.2">
      <c r="A77" s="18"/>
      <c r="C77" s="31"/>
      <c r="D77" s="11"/>
      <c r="E77" s="11"/>
    </row>
    <row r="78" spans="1:8" x14ac:dyDescent="0.2">
      <c r="A78" s="33"/>
      <c r="C78" s="31"/>
      <c r="D78" s="11"/>
      <c r="E78" s="11"/>
    </row>
    <row r="79" spans="1:8" x14ac:dyDescent="0.2">
      <c r="A79" s="18"/>
      <c r="D79" s="11"/>
      <c r="E79" s="11"/>
    </row>
    <row r="80" spans="1:8" x14ac:dyDescent="0.2">
      <c r="A80" s="33"/>
      <c r="C80" s="31"/>
      <c r="D80" s="11"/>
      <c r="E80" s="11"/>
    </row>
    <row r="81" spans="1:6" x14ac:dyDescent="0.2">
      <c r="A81" s="6"/>
      <c r="D81" s="11"/>
      <c r="E81" s="11"/>
    </row>
    <row r="82" spans="1:6" x14ac:dyDescent="0.2">
      <c r="A82" s="33"/>
      <c r="D82" s="11"/>
      <c r="E82" s="11"/>
    </row>
    <row r="83" spans="1:6" x14ac:dyDescent="0.2">
      <c r="A83" s="33"/>
      <c r="D83" s="11"/>
      <c r="E83" s="11"/>
      <c r="F83" s="11"/>
    </row>
    <row r="84" spans="1:6" x14ac:dyDescent="0.2">
      <c r="A84" s="18"/>
      <c r="E84" s="53"/>
    </row>
    <row r="85" spans="1:6" x14ac:dyDescent="0.2">
      <c r="A85" s="18"/>
    </row>
    <row r="87" spans="1:6" x14ac:dyDescent="0.2">
      <c r="A87" s="1"/>
    </row>
    <row r="88" spans="1:6" x14ac:dyDescent="0.2">
      <c r="A88" s="31"/>
    </row>
    <row r="89" spans="1:6" x14ac:dyDescent="0.2">
      <c r="A89" s="31"/>
    </row>
    <row r="90" spans="1:6" x14ac:dyDescent="0.2">
      <c r="A90" s="31"/>
    </row>
    <row r="99" spans="1:1" x14ac:dyDescent="0.2">
      <c r="A99" s="6"/>
    </row>
    <row r="110" spans="1:1" x14ac:dyDescent="0.2">
      <c r="A110" s="6"/>
    </row>
  </sheetData>
  <mergeCells count="2">
    <mergeCell ref="E1:H6"/>
    <mergeCell ref="K1:M1"/>
  </mergeCells>
  <conditionalFormatting sqref="B37">
    <cfRule type="expression" dxfId="11" priority="21">
      <formula>B$37&gt;=0.552318*EXP(0.03807*(IF(B$40="",B$39,B$40)))</formula>
    </cfRule>
    <cfRule type="expression" dxfId="10" priority="22">
      <formula>AND(B$37&gt;=0.299132*EXP(0.039122*(IF(B$40="",B$39,B$40))),B$37&lt;0.552318*EXP(0.03807*(IF(B$40="",B$39,B$40))))</formula>
    </cfRule>
    <cfRule type="expression" dxfId="9" priority="59">
      <formula>AND(B$37&gt;=0.220239*EXP(0.035565*(IF(B$40="",B$39,B$40))),B$37&lt;0.299132*EXP(0.039122*(IF(B$40="",B$39,B$40))))</formula>
    </cfRule>
    <cfRule type="expression" dxfId="8" priority="60">
      <formula>B$37&lt;0.220239*EXP(0.035565*(IF(B$40="",B$39,B$40)))</formula>
    </cfRule>
  </conditionalFormatting>
  <conditionalFormatting sqref="G37">
    <cfRule type="expression" dxfId="7" priority="5">
      <formula>G$37&gt;=0.552318*EXP(0.03807*(IF(G$40="",G$39,G$40)))</formula>
    </cfRule>
    <cfRule type="expression" dxfId="6" priority="6">
      <formula>AND(G$37&gt;=0.299132*EXP(0.039122*(IF(G$40="",G$39,G$40))),G$37&lt;0.552318*EXP(0.03807*(IF(G$40="",G$39,G$40))))</formula>
    </cfRule>
    <cfRule type="expression" dxfId="5" priority="7">
      <formula>AND(G$37&gt;=0.220239*EXP(0.035565*(IF(G$40="",G$39,G$40))),G$37&lt;0.299132*EXP(0.039122*(IF(G$40="",G$39,G$40))))</formula>
    </cfRule>
    <cfRule type="expression" dxfId="4" priority="8">
      <formula>G$37&lt;0.220239*EXP(0.035565*(IF(G$40="",G$39,G$40)))</formula>
    </cfRule>
  </conditionalFormatting>
  <conditionalFormatting sqref="D37">
    <cfRule type="expression" dxfId="3" priority="1">
      <formula>D$37&gt;=0.552318*EXP(0.03807*(IF(D$40="",D$39,D$40)))</formula>
    </cfRule>
    <cfRule type="expression" dxfId="2" priority="2">
      <formula>AND(D$37&gt;=0.299132*EXP(0.039122*(IF(D$40="",D$39,D$40))),D$37&lt;0.552318*EXP(0.03807*(IF(D$40="",D$39,D$40))))</formula>
    </cfRule>
    <cfRule type="expression" dxfId="1" priority="3">
      <formula>AND(D$37&gt;=0.220239*EXP(0.035565*(IF(D$40="",D$39,D$40))),D$37&lt;0.299132*EXP(0.039122*(IF(D$40="",D$39,D$40))))</formula>
    </cfRule>
    <cfRule type="expression" dxfId="0" priority="4">
      <formula>D$37&lt;0.220239*EXP(0.035565*(IF(D$40="",D$39,D$40)))</formula>
    </cfRule>
  </conditionalFormatting>
  <dataValidations disablePrompts="1" count="2">
    <dataValidation type="list" allowBlank="1" showInputMessage="1" sqref="B6" xr:uid="{00000000-0002-0000-0200-000000000000}">
      <formula1>"2,2.8,4,5.7,8,11.9,16"</formula1>
    </dataValidation>
    <dataValidation type="list" showInputMessage="1" showErrorMessage="1" sqref="D23 B23" xr:uid="{00000000-0002-0000-0200-000001000000}">
      <formula1>"32,40,50,63,75,80,90,100,110,125,140,160,200,250"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4"/>
  <dimension ref="A1:R76"/>
  <sheetViews>
    <sheetView workbookViewId="0">
      <selection activeCell="B3" sqref="B3"/>
    </sheetView>
  </sheetViews>
  <sheetFormatPr baseColWidth="10" defaultRowHeight="12.75" x14ac:dyDescent="0.2"/>
  <cols>
    <col min="1" max="1" width="24.85546875" style="3" bestFit="1" customWidth="1"/>
    <col min="2" max="2" width="11.5703125" style="3" customWidth="1"/>
    <col min="3" max="16" width="11.42578125" style="3"/>
    <col min="17" max="17" width="12.5703125" style="3" bestFit="1" customWidth="1"/>
    <col min="18" max="16384" width="11.42578125" style="3"/>
  </cols>
  <sheetData>
    <row r="1" spans="1:18" ht="13.5" thickBot="1" x14ac:dyDescent="0.25">
      <c r="A1" s="115" t="s">
        <v>26</v>
      </c>
      <c r="B1" s="115"/>
      <c r="C1" s="115"/>
      <c r="D1" s="2"/>
      <c r="E1" s="115" t="s">
        <v>22</v>
      </c>
      <c r="F1" s="2" t="s">
        <v>92</v>
      </c>
      <c r="G1" s="25">
        <f>'Caractéristique HP'!B18</f>
        <v>88.358074345673984</v>
      </c>
      <c r="H1" s="3">
        <v>20</v>
      </c>
      <c r="I1" s="3">
        <v>25</v>
      </c>
      <c r="J1" s="3">
        <v>30</v>
      </c>
      <c r="K1" s="3">
        <v>35</v>
      </c>
      <c r="L1" s="3">
        <v>40</v>
      </c>
      <c r="M1" s="3">
        <v>45</v>
      </c>
      <c r="N1" s="3">
        <v>50</v>
      </c>
      <c r="O1" s="3">
        <v>55</v>
      </c>
      <c r="P1" s="3">
        <v>60</v>
      </c>
      <c r="Q1" s="3">
        <v>65</v>
      </c>
      <c r="R1" s="3">
        <v>70</v>
      </c>
    </row>
    <row r="2" spans="1:18" x14ac:dyDescent="0.2">
      <c r="D2" s="2"/>
      <c r="E2" s="115"/>
      <c r="F2" s="2">
        <v>10</v>
      </c>
      <c r="G2" s="23">
        <f xml:space="preserve"> -0.0000011077*G1^5 + 0.0002935664*G1^4 - 0.031374359*G1^3 + 1.7258263403*G1^2 - 51.395927739*G1 + 783.8806526914</f>
        <v>1.3587010175883734</v>
      </c>
      <c r="H2" s="5">
        <v>238.8</v>
      </c>
      <c r="I2" s="5">
        <v>191</v>
      </c>
      <c r="J2" s="5">
        <v>159.19999999999999</v>
      </c>
      <c r="K2" s="5">
        <v>136.5</v>
      </c>
      <c r="L2" s="5">
        <v>119.4</v>
      </c>
      <c r="M2" s="5">
        <v>106.1</v>
      </c>
      <c r="N2" s="5">
        <v>95.5</v>
      </c>
      <c r="O2" s="5">
        <v>86.8</v>
      </c>
      <c r="P2" s="5">
        <v>79.599999999999994</v>
      </c>
      <c r="Q2" s="5">
        <v>73.5</v>
      </c>
      <c r="R2" s="5">
        <v>68.2</v>
      </c>
    </row>
    <row r="3" spans="1:18" x14ac:dyDescent="0.2">
      <c r="A3" s="2" t="s">
        <v>92</v>
      </c>
      <c r="B3" s="93">
        <v>0.22500000000000001</v>
      </c>
      <c r="E3" s="115"/>
      <c r="F3" s="2">
        <v>5</v>
      </c>
      <c r="G3" s="23">
        <f xml:space="preserve"> -0.0000009692*G1^5 + 0.000259662*G1^4 - 0.0280512238*G1^3 + 1.5592007576*G1^2 - 46.887624126*G1 + 721.3667832269</f>
        <v>8.0736195173064971</v>
      </c>
      <c r="H3" s="5">
        <v>221.4</v>
      </c>
      <c r="I3" s="5">
        <v>177.1</v>
      </c>
      <c r="J3" s="5">
        <v>147.6</v>
      </c>
      <c r="K3" s="5">
        <v>126.5</v>
      </c>
      <c r="L3" s="5">
        <v>110.7</v>
      </c>
      <c r="M3" s="5">
        <v>98.4</v>
      </c>
      <c r="N3" s="5">
        <v>88.6</v>
      </c>
      <c r="O3" s="5">
        <v>80.5</v>
      </c>
      <c r="P3" s="5">
        <v>73.8</v>
      </c>
      <c r="Q3" s="5">
        <v>68.099999999999994</v>
      </c>
      <c r="R3" s="5">
        <v>63.3</v>
      </c>
    </row>
    <row r="4" spans="1:18" x14ac:dyDescent="0.2">
      <c r="E4" s="115"/>
      <c r="F4" s="2">
        <v>3</v>
      </c>
      <c r="G4" s="23">
        <f xml:space="preserve"> -0.0000009026*G1^5 + 0.0002414452*G1^4 - 0.0260564103*G1^3 + 1.447553613*G1^2 - 43.5280955712*G1 + 669.8941725037</f>
        <v>6.2039696643330444</v>
      </c>
      <c r="H4" s="5">
        <v>205.7</v>
      </c>
      <c r="I4" s="5">
        <v>164.6</v>
      </c>
      <c r="J4" s="5">
        <v>137.1</v>
      </c>
      <c r="K4" s="5">
        <v>117.5</v>
      </c>
      <c r="L4" s="5">
        <v>102.9</v>
      </c>
      <c r="M4" s="5">
        <v>91.4</v>
      </c>
      <c r="N4" s="5">
        <v>82.3</v>
      </c>
      <c r="O4" s="5">
        <v>74.8</v>
      </c>
      <c r="P4" s="5">
        <v>68.599999999999994</v>
      </c>
      <c r="Q4" s="5">
        <v>63.3</v>
      </c>
      <c r="R4" s="5">
        <v>58.8</v>
      </c>
    </row>
    <row r="5" spans="1:18" x14ac:dyDescent="0.2">
      <c r="A5" s="2" t="s">
        <v>5</v>
      </c>
      <c r="B5" s="4">
        <f xml:space="preserve"> -9.721*LN(B3) + 26.589</f>
        <v>41.089377057156184</v>
      </c>
      <c r="C5" s="2" t="s">
        <v>14</v>
      </c>
      <c r="E5" s="115"/>
      <c r="F5" s="2">
        <v>2</v>
      </c>
      <c r="G5" s="23">
        <f>-0.0000008564*G1^5 + 0.0002285431*G1^4 - 0.0245942308*G1^3 + 1.3620906177*G1^2 - 40.8330705129*G1 + 626.7933566522</f>
        <v>5.0652030606419203</v>
      </c>
      <c r="H5" s="5">
        <v>192.1</v>
      </c>
      <c r="I5" s="5">
        <v>153.69999999999999</v>
      </c>
      <c r="J5" s="5">
        <v>128.1</v>
      </c>
      <c r="K5" s="5">
        <v>109.8</v>
      </c>
      <c r="L5" s="5">
        <v>96.1</v>
      </c>
      <c r="M5" s="5">
        <v>85.4</v>
      </c>
      <c r="N5" s="5">
        <v>76.8</v>
      </c>
      <c r="O5" s="5">
        <v>69.900000000000006</v>
      </c>
      <c r="P5" s="5">
        <v>64</v>
      </c>
      <c r="Q5" s="5">
        <v>59.1</v>
      </c>
      <c r="R5" s="5">
        <v>54.9</v>
      </c>
    </row>
    <row r="6" spans="1:18" x14ac:dyDescent="0.2">
      <c r="A6" s="2" t="s">
        <v>4</v>
      </c>
      <c r="B6" s="8">
        <f>0.0437*B16^-0.893</f>
        <v>8.534116195225952E-2</v>
      </c>
      <c r="C6" s="2" t="s">
        <v>12</v>
      </c>
      <c r="E6" s="115"/>
      <c r="F6" s="2">
        <v>1</v>
      </c>
      <c r="G6" s="23">
        <f xml:space="preserve"> -0.0000007487*G1^5 + 0.0001998368*G1^4 - 0.0215122378*G1^3 + 1.1918572261*G1^2 - 35.7376002332*G1 + 548.4790209868</f>
        <v>4.3050580866187147</v>
      </c>
      <c r="H6" s="5">
        <v>168</v>
      </c>
      <c r="I6" s="5">
        <v>134.4</v>
      </c>
      <c r="J6" s="5">
        <v>112</v>
      </c>
      <c r="K6" s="5">
        <v>96</v>
      </c>
      <c r="L6" s="5">
        <v>84</v>
      </c>
      <c r="M6" s="5">
        <v>74.7</v>
      </c>
      <c r="N6" s="5">
        <v>67.2</v>
      </c>
      <c r="O6" s="5">
        <v>61.1</v>
      </c>
      <c r="P6" s="5">
        <v>56</v>
      </c>
      <c r="Q6" s="5">
        <v>51.7</v>
      </c>
      <c r="R6" s="5">
        <v>48</v>
      </c>
    </row>
    <row r="7" spans="1:18" x14ac:dyDescent="0.2">
      <c r="E7" s="115"/>
      <c r="F7" s="2">
        <v>0.5</v>
      </c>
      <c r="G7" s="23">
        <f xml:space="preserve"> -0.0000006564*G1^5 + 0.0001750117*G1^4 - 0.0188111888*G1^3 + 1.0401748252*G1^2 - 31.1165827506*G1 + 476.311421918</f>
        <v>3.4432795854662004</v>
      </c>
      <c r="H7" s="5">
        <v>145.5</v>
      </c>
      <c r="I7" s="5">
        <v>116.4</v>
      </c>
      <c r="J7" s="5">
        <v>97</v>
      </c>
      <c r="K7" s="5">
        <v>83.1</v>
      </c>
      <c r="L7" s="5">
        <v>72.8</v>
      </c>
      <c r="M7" s="5">
        <v>64.7</v>
      </c>
      <c r="N7" s="5">
        <v>58.2</v>
      </c>
      <c r="O7" s="5">
        <v>52.9</v>
      </c>
      <c r="P7" s="5">
        <v>48.5</v>
      </c>
      <c r="Q7" s="5">
        <v>44.8</v>
      </c>
      <c r="R7" s="5">
        <v>41.6</v>
      </c>
    </row>
    <row r="8" spans="1:18" x14ac:dyDescent="0.2">
      <c r="A8" s="2" t="s">
        <v>18</v>
      </c>
      <c r="B8" s="7">
        <f>B21*B20*B17*B5*B6*B18/B19^2</f>
        <v>17516.407601975203</v>
      </c>
      <c r="C8" s="2"/>
      <c r="E8" s="115"/>
      <c r="F8" s="2">
        <v>0.33300000000000002</v>
      </c>
      <c r="G8" s="23">
        <f xml:space="preserve"> -0.0000006308*G1^5 + 0.0001666317*G1^4 - 0.0177497086*G1^3 + 0.9731395688*G1^2 - 28.8883805362*G1 + 439.3299533861</f>
        <v>-0.68134689525322756</v>
      </c>
      <c r="H8" s="5">
        <v>133.5</v>
      </c>
      <c r="I8" s="5">
        <v>106.8</v>
      </c>
      <c r="J8" s="5">
        <v>89</v>
      </c>
      <c r="K8" s="5">
        <v>76.3</v>
      </c>
      <c r="L8" s="5">
        <v>66.8</v>
      </c>
      <c r="M8" s="5">
        <v>59.3</v>
      </c>
      <c r="N8" s="5">
        <v>53.4</v>
      </c>
      <c r="O8" s="5">
        <v>48.5</v>
      </c>
      <c r="P8" s="5">
        <v>44.5</v>
      </c>
      <c r="Q8" s="5">
        <v>41.1</v>
      </c>
      <c r="R8" s="5">
        <v>38.1</v>
      </c>
    </row>
    <row r="9" spans="1:18" x14ac:dyDescent="0.2">
      <c r="A9" s="2" t="s">
        <v>19</v>
      </c>
      <c r="B9" s="5">
        <f>B17*B8*10000</f>
        <v>23121658034.607269</v>
      </c>
      <c r="C9" s="2" t="s">
        <v>20</v>
      </c>
      <c r="E9" s="115"/>
      <c r="F9" s="2">
        <v>0.2</v>
      </c>
      <c r="G9" s="23">
        <f xml:space="preserve"> -0.0000005385*G1^5 + 0.0001438578*G1^4 - 0.0154896853*G1^3 + 0.857587704*G1^2 - 25.668715035*G1 + 392.8287878843</f>
        <v>3.1725049722942913</v>
      </c>
      <c r="H9" s="5">
        <v>119.9</v>
      </c>
      <c r="I9" s="5">
        <v>95.9</v>
      </c>
      <c r="J9" s="5">
        <v>79.900000000000006</v>
      </c>
      <c r="K9" s="5">
        <v>68.5</v>
      </c>
      <c r="L9" s="5">
        <v>60</v>
      </c>
      <c r="M9" s="5">
        <v>53.3</v>
      </c>
      <c r="N9" s="5">
        <v>48</v>
      </c>
      <c r="O9" s="5">
        <v>43.6</v>
      </c>
      <c r="P9" s="5">
        <v>40</v>
      </c>
      <c r="Q9" s="5">
        <v>36.9</v>
      </c>
      <c r="R9" s="5">
        <v>34.299999999999997</v>
      </c>
    </row>
    <row r="10" spans="1:18" ht="13.5" thickBot="1" x14ac:dyDescent="0.25">
      <c r="A10" s="2" t="s">
        <v>59</v>
      </c>
      <c r="B10" s="5">
        <f>B9*B3</f>
        <v>5202373057.7866354</v>
      </c>
      <c r="C10" s="2" t="s">
        <v>20</v>
      </c>
      <c r="E10" s="115"/>
      <c r="F10" s="2">
        <v>0.1</v>
      </c>
      <c r="G10" s="24">
        <f>-0.0000004667*G1^5 + 0.0001244406*G1^4 - 0.0133818765*G1^3 + 0.7402875874*G1^2 - 22.1466998835*G1 + 338.8269230819</f>
        <v>1.7826111515414027</v>
      </c>
      <c r="H10" s="5">
        <v>103.4</v>
      </c>
      <c r="I10" s="5">
        <v>82.7</v>
      </c>
      <c r="J10" s="5">
        <v>68.900000000000006</v>
      </c>
      <c r="K10" s="5">
        <v>59.1</v>
      </c>
      <c r="L10" s="5">
        <v>51.7</v>
      </c>
      <c r="M10" s="5">
        <v>46</v>
      </c>
      <c r="N10" s="5">
        <v>41.4</v>
      </c>
      <c r="O10" s="5">
        <v>37.6</v>
      </c>
      <c r="P10" s="5">
        <v>34.5</v>
      </c>
      <c r="Q10" s="5">
        <v>31.8</v>
      </c>
      <c r="R10" s="5">
        <v>29.5</v>
      </c>
    </row>
    <row r="11" spans="1:18" x14ac:dyDescent="0.2">
      <c r="A11" s="2" t="s">
        <v>6</v>
      </c>
      <c r="B11" s="5">
        <f>(22.692*LN(B3) + 125.8)*2.54</f>
        <v>233.55647354184649</v>
      </c>
      <c r="C11" s="3" t="s">
        <v>21</v>
      </c>
      <c r="D11" s="2"/>
      <c r="E11" s="27"/>
      <c r="F11" s="2"/>
      <c r="G11" s="5"/>
      <c r="H11" s="5"/>
      <c r="I11" s="5"/>
      <c r="J11" s="5"/>
      <c r="K11" s="5"/>
      <c r="L11" s="5"/>
      <c r="M11" s="5"/>
      <c r="N11" s="5"/>
      <c r="O11" s="5"/>
      <c r="P11" s="5"/>
      <c r="Q11" s="5"/>
      <c r="R11" s="5"/>
    </row>
    <row r="12" spans="1:18" x14ac:dyDescent="0.2">
      <c r="A12" s="3" t="s">
        <v>23</v>
      </c>
      <c r="B12" s="7">
        <f>0.55*B9*B11/1000</f>
        <v>2970117102.1518564</v>
      </c>
      <c r="C12" s="3" t="s">
        <v>25</v>
      </c>
      <c r="E12" s="27"/>
      <c r="F12" s="2"/>
      <c r="G12" s="5"/>
      <c r="H12" s="5"/>
      <c r="I12" s="5"/>
      <c r="J12" s="5"/>
      <c r="K12" s="5"/>
      <c r="L12" s="5"/>
      <c r="M12" s="5"/>
      <c r="N12" s="5"/>
      <c r="O12" s="5"/>
      <c r="P12" s="5"/>
      <c r="Q12" s="5"/>
      <c r="R12" s="5"/>
    </row>
    <row r="13" spans="1:18" x14ac:dyDescent="0.2">
      <c r="A13" s="3" t="s">
        <v>70</v>
      </c>
      <c r="B13" s="5">
        <f>(0.0000671574*B3^3-0.0017976585*B3^2+0.0197080493*B3+0.331492637)*B11</f>
        <v>78.436836878398736</v>
      </c>
      <c r="C13" s="3" t="s">
        <v>21</v>
      </c>
      <c r="D13" s="5"/>
      <c r="E13" s="27"/>
      <c r="F13" s="2"/>
      <c r="G13" s="5"/>
      <c r="H13" s="5"/>
      <c r="I13" s="5"/>
      <c r="J13" s="5"/>
      <c r="K13" s="5"/>
      <c r="L13" s="5"/>
      <c r="M13" s="5"/>
      <c r="N13" s="5"/>
      <c r="O13" s="5"/>
      <c r="P13" s="5"/>
      <c r="Q13" s="5"/>
      <c r="R13" s="5"/>
    </row>
    <row r="14" spans="1:18" x14ac:dyDescent="0.2">
      <c r="A14" s="3" t="s">
        <v>27</v>
      </c>
      <c r="B14" s="5">
        <f>0.2*B11</f>
        <v>46.711294708369302</v>
      </c>
      <c r="C14" s="3" t="s">
        <v>21</v>
      </c>
      <c r="E14" s="27"/>
      <c r="F14" s="2"/>
      <c r="G14" s="5"/>
      <c r="H14" s="5"/>
      <c r="I14" s="5"/>
      <c r="J14" s="5"/>
      <c r="K14" s="5"/>
      <c r="L14" s="5"/>
      <c r="M14" s="5"/>
      <c r="N14" s="5"/>
      <c r="O14" s="5"/>
      <c r="P14" s="5"/>
      <c r="Q14" s="5"/>
      <c r="R14" s="5"/>
    </row>
    <row r="15" spans="1:18" x14ac:dyDescent="0.2">
      <c r="E15" s="27"/>
      <c r="F15" s="2"/>
      <c r="G15" s="5"/>
      <c r="H15" s="5"/>
      <c r="I15" s="5"/>
      <c r="J15" s="5"/>
      <c r="K15" s="5"/>
      <c r="L15" s="5"/>
      <c r="M15" s="5"/>
      <c r="N15" s="5"/>
      <c r="O15" s="5"/>
      <c r="P15" s="5"/>
      <c r="Q15" s="5"/>
      <c r="R15" s="5"/>
    </row>
    <row r="16" spans="1:18" x14ac:dyDescent="0.2">
      <c r="A16" s="3" t="s">
        <v>2</v>
      </c>
      <c r="B16" s="4">
        <f>'Caractéristique HP'!B21</f>
        <v>0.47259999485424214</v>
      </c>
      <c r="D16" s="2"/>
      <c r="E16" s="27"/>
      <c r="F16" s="2"/>
      <c r="G16" s="5"/>
      <c r="H16" s="5"/>
      <c r="I16" s="5"/>
      <c r="J16" s="5"/>
      <c r="K16" s="5"/>
      <c r="L16" s="5"/>
      <c r="M16" s="5"/>
      <c r="N16" s="5"/>
      <c r="O16" s="5"/>
      <c r="P16" s="5"/>
      <c r="Q16" s="5"/>
      <c r="R16" s="5"/>
    </row>
    <row r="17" spans="1:18" x14ac:dyDescent="0.2">
      <c r="A17" s="3" t="s">
        <v>3</v>
      </c>
      <c r="B17" s="3">
        <f>'Caractéristique HP'!B14</f>
        <v>132</v>
      </c>
      <c r="C17" s="3" t="s">
        <v>12</v>
      </c>
      <c r="D17" s="2"/>
      <c r="E17" s="27"/>
      <c r="F17" s="2"/>
      <c r="G17" s="5"/>
      <c r="H17" s="5"/>
      <c r="I17" s="5"/>
      <c r="J17" s="5"/>
      <c r="K17" s="5"/>
      <c r="L17" s="5"/>
      <c r="M17" s="5"/>
      <c r="N17" s="5"/>
      <c r="O17" s="5"/>
      <c r="P17" s="5"/>
      <c r="Q17" s="5"/>
      <c r="R17" s="5"/>
    </row>
    <row r="18" spans="1:18" x14ac:dyDescent="0.2">
      <c r="A18" s="3" t="s">
        <v>0</v>
      </c>
      <c r="B18" s="3">
        <f>'Caractéristique HP'!B10</f>
        <v>11.9</v>
      </c>
      <c r="C18" s="2" t="s">
        <v>11</v>
      </c>
      <c r="E18" s="2"/>
    </row>
    <row r="19" spans="1:18" x14ac:dyDescent="0.2">
      <c r="A19" s="2" t="s">
        <v>36</v>
      </c>
      <c r="B19" s="4">
        <f>'Caractéristique HP'!B8</f>
        <v>11.36</v>
      </c>
      <c r="C19" s="2" t="s">
        <v>17</v>
      </c>
      <c r="D19" s="2"/>
      <c r="E19" s="115" t="s">
        <v>4</v>
      </c>
      <c r="F19" s="2" t="s">
        <v>2</v>
      </c>
      <c r="G19" s="2" t="s">
        <v>4</v>
      </c>
    </row>
    <row r="20" spans="1:18" x14ac:dyDescent="0.2">
      <c r="A20" s="2" t="s">
        <v>31</v>
      </c>
      <c r="B20" s="4">
        <f>'Caractéristique HP'!G3</f>
        <v>343.70699999999999</v>
      </c>
      <c r="C20" s="2" t="s">
        <v>15</v>
      </c>
      <c r="D20" s="2"/>
      <c r="E20" s="115"/>
      <c r="F20" s="3">
        <v>0.2</v>
      </c>
      <c r="G20" s="3">
        <v>0.18579999999999999</v>
      </c>
    </row>
    <row r="21" spans="1:18" x14ac:dyDescent="0.2">
      <c r="A21" s="6" t="s">
        <v>13</v>
      </c>
      <c r="B21" s="15">
        <f>'Caractéristique HP'!G4</f>
        <v>1.194</v>
      </c>
      <c r="C21" s="2" t="s">
        <v>16</v>
      </c>
      <c r="D21" s="2"/>
      <c r="E21" s="115"/>
      <c r="F21" s="3">
        <v>0.3</v>
      </c>
      <c r="G21" s="3">
        <v>0.1313</v>
      </c>
    </row>
    <row r="22" spans="1:18" x14ac:dyDescent="0.2">
      <c r="E22" s="115"/>
      <c r="F22" s="3">
        <v>0.4</v>
      </c>
      <c r="G22" s="3">
        <v>9.5000000000000001E-2</v>
      </c>
    </row>
    <row r="23" spans="1:18" x14ac:dyDescent="0.2">
      <c r="A23" s="3" t="s">
        <v>94</v>
      </c>
      <c r="E23" s="115"/>
      <c r="F23" s="3">
        <v>0.5</v>
      </c>
      <c r="G23" s="3">
        <v>7.8799999999999995E-2</v>
      </c>
    </row>
    <row r="24" spans="1:18" x14ac:dyDescent="0.2">
      <c r="E24" s="115"/>
      <c r="F24" s="3">
        <v>0.6</v>
      </c>
      <c r="G24" s="3">
        <v>6.88E-2</v>
      </c>
    </row>
    <row r="25" spans="1:18" x14ac:dyDescent="0.2">
      <c r="E25" s="115"/>
      <c r="F25" s="3">
        <v>0.7</v>
      </c>
      <c r="G25" s="3">
        <v>6.25E-2</v>
      </c>
    </row>
    <row r="27" spans="1:18" x14ac:dyDescent="0.2">
      <c r="E27" s="116" t="s">
        <v>47</v>
      </c>
      <c r="F27" s="2" t="s">
        <v>92</v>
      </c>
      <c r="G27" s="2" t="s">
        <v>24</v>
      </c>
    </row>
    <row r="28" spans="1:18" x14ac:dyDescent="0.2">
      <c r="E28" s="117"/>
      <c r="F28" s="3">
        <v>10</v>
      </c>
      <c r="G28" s="3">
        <v>0.41599999999999998</v>
      </c>
    </row>
    <row r="29" spans="1:18" x14ac:dyDescent="0.2">
      <c r="E29" s="117"/>
      <c r="F29" s="3">
        <v>5</v>
      </c>
      <c r="G29" s="3">
        <v>0.39300000000000002</v>
      </c>
    </row>
    <row r="30" spans="1:18" x14ac:dyDescent="0.2">
      <c r="E30" s="117"/>
      <c r="F30" s="3">
        <v>3</v>
      </c>
      <c r="G30" s="3">
        <v>0.377</v>
      </c>
    </row>
    <row r="31" spans="1:18" x14ac:dyDescent="0.2">
      <c r="E31" s="117"/>
      <c r="F31" s="3">
        <v>2</v>
      </c>
      <c r="G31" s="3">
        <v>0.36499999999999999</v>
      </c>
    </row>
    <row r="32" spans="1:18" x14ac:dyDescent="0.2">
      <c r="E32" s="117"/>
      <c r="F32" s="3">
        <v>1</v>
      </c>
      <c r="G32" s="3">
        <v>0.34899999999999998</v>
      </c>
    </row>
    <row r="33" spans="5:18" x14ac:dyDescent="0.2">
      <c r="E33" s="117"/>
      <c r="F33" s="3">
        <v>0.5</v>
      </c>
      <c r="G33" s="3">
        <v>0.33900000000000002</v>
      </c>
    </row>
    <row r="34" spans="5:18" x14ac:dyDescent="0.2">
      <c r="E34" s="117"/>
      <c r="F34" s="3">
        <v>0.33300000000000002</v>
      </c>
      <c r="G34" s="3">
        <v>0.33600000000000002</v>
      </c>
    </row>
    <row r="35" spans="5:18" x14ac:dyDescent="0.2">
      <c r="E35" s="117"/>
      <c r="F35" s="3">
        <v>0.2</v>
      </c>
      <c r="G35" s="3">
        <v>0.33600000000000002</v>
      </c>
    </row>
    <row r="36" spans="5:18" x14ac:dyDescent="0.2">
      <c r="E36" s="117"/>
      <c r="F36" s="3">
        <v>0.1</v>
      </c>
      <c r="G36" s="3">
        <v>0.33600000000000002</v>
      </c>
    </row>
    <row r="39" spans="5:18" x14ac:dyDescent="0.2">
      <c r="E39" s="115" t="s">
        <v>5</v>
      </c>
      <c r="F39" s="2" t="s">
        <v>92</v>
      </c>
      <c r="G39" s="3">
        <f>'Caractéristique HP'!B18</f>
        <v>88.358074345673984</v>
      </c>
      <c r="H39" s="3">
        <v>20</v>
      </c>
      <c r="I39" s="3">
        <v>25</v>
      </c>
      <c r="J39" s="3">
        <v>30</v>
      </c>
      <c r="K39" s="3">
        <v>35</v>
      </c>
      <c r="L39" s="3">
        <v>40</v>
      </c>
      <c r="M39" s="3">
        <v>45</v>
      </c>
      <c r="N39" s="3">
        <v>50</v>
      </c>
      <c r="O39" s="3">
        <v>55</v>
      </c>
      <c r="P39" s="3">
        <v>60</v>
      </c>
      <c r="Q39" s="3">
        <v>65</v>
      </c>
      <c r="R39" s="3">
        <v>70</v>
      </c>
    </row>
    <row r="40" spans="5:18" x14ac:dyDescent="0.2">
      <c r="E40" s="115"/>
      <c r="F40" s="2">
        <v>10</v>
      </c>
      <c r="G40" s="4">
        <f>G39*0.2196</f>
        <v>19.403433126310006</v>
      </c>
      <c r="H40" s="4">
        <v>4.3920000000000003</v>
      </c>
      <c r="I40" s="4">
        <v>5.49</v>
      </c>
      <c r="J40" s="4">
        <v>6.5880000000000001</v>
      </c>
      <c r="K40" s="4">
        <v>7.6859999999999999</v>
      </c>
      <c r="L40" s="4">
        <v>8.7840000000000007</v>
      </c>
      <c r="M40" s="4">
        <v>9.8819999999999997</v>
      </c>
      <c r="N40" s="4">
        <v>10.98</v>
      </c>
      <c r="O40" s="4">
        <v>12.077999999999999</v>
      </c>
      <c r="P40" s="4">
        <v>13.176</v>
      </c>
      <c r="Q40" s="4">
        <v>14.273999999999999</v>
      </c>
      <c r="R40" s="4">
        <v>15.372</v>
      </c>
    </row>
    <row r="41" spans="5:18" x14ac:dyDescent="0.2">
      <c r="E41" s="115"/>
      <c r="F41" s="2">
        <v>5</v>
      </c>
      <c r="G41" s="4">
        <f>G39*0.388304</f>
        <v>34.309793700722587</v>
      </c>
      <c r="H41" s="4">
        <v>7.766</v>
      </c>
      <c r="I41" s="4">
        <v>9.7080000000000002</v>
      </c>
      <c r="J41" s="4">
        <v>11.648999999999999</v>
      </c>
      <c r="K41" s="4">
        <v>13.590999999999999</v>
      </c>
      <c r="L41" s="4">
        <v>15.532</v>
      </c>
      <c r="M41" s="4">
        <v>17.474</v>
      </c>
      <c r="N41" s="4">
        <v>19.414999999999999</v>
      </c>
      <c r="O41" s="4">
        <v>21.356999999999999</v>
      </c>
      <c r="P41" s="4">
        <v>23.297999999999998</v>
      </c>
      <c r="Q41" s="4">
        <v>25.24</v>
      </c>
      <c r="R41" s="4">
        <v>27.181000000000001</v>
      </c>
    </row>
    <row r="42" spans="5:18" x14ac:dyDescent="0.2">
      <c r="E42" s="115"/>
      <c r="F42" s="2">
        <v>3</v>
      </c>
      <c r="G42" s="4">
        <f>G39*0.552953</f>
        <v>48.857862283663472</v>
      </c>
      <c r="H42" s="4">
        <v>11.058999999999999</v>
      </c>
      <c r="I42" s="4">
        <v>13.824</v>
      </c>
      <c r="J42" s="4">
        <v>16.588999999999999</v>
      </c>
      <c r="K42" s="4">
        <v>19.353000000000002</v>
      </c>
      <c r="L42" s="4">
        <v>22.117999999999999</v>
      </c>
      <c r="M42" s="4">
        <v>24.882999999999999</v>
      </c>
      <c r="N42" s="4">
        <v>27.648</v>
      </c>
      <c r="O42" s="4">
        <v>30.411999999999999</v>
      </c>
      <c r="P42" s="4">
        <v>33.177</v>
      </c>
      <c r="Q42" s="4">
        <v>35.942</v>
      </c>
      <c r="R42" s="4">
        <v>38.707000000000001</v>
      </c>
    </row>
    <row r="43" spans="5:18" x14ac:dyDescent="0.2">
      <c r="E43" s="115"/>
      <c r="F43" s="2">
        <v>2</v>
      </c>
      <c r="G43" s="4">
        <f>G39*0.701253</f>
        <v>61.961364709126919</v>
      </c>
      <c r="H43" s="4">
        <v>14.025</v>
      </c>
      <c r="I43" s="4">
        <v>17.530999999999999</v>
      </c>
      <c r="J43" s="4">
        <v>21.038</v>
      </c>
      <c r="K43" s="4">
        <v>24.544</v>
      </c>
      <c r="L43" s="4">
        <v>28.05</v>
      </c>
      <c r="M43" s="4">
        <v>31.556000000000001</v>
      </c>
      <c r="N43" s="4">
        <v>35.063000000000002</v>
      </c>
      <c r="O43" s="4">
        <v>38.569000000000003</v>
      </c>
      <c r="P43" s="4">
        <v>42.075000000000003</v>
      </c>
      <c r="Q43" s="4">
        <v>45.581000000000003</v>
      </c>
      <c r="R43" s="4">
        <v>49.088000000000001</v>
      </c>
    </row>
    <row r="44" spans="5:18" x14ac:dyDescent="0.2">
      <c r="E44" s="115"/>
      <c r="F44" s="2">
        <v>1</v>
      </c>
      <c r="G44" s="4">
        <f>G39*0.971453</f>
        <v>85.835716397328028</v>
      </c>
      <c r="H44" s="4">
        <v>19.428999999999998</v>
      </c>
      <c r="I44" s="4">
        <v>24.286000000000001</v>
      </c>
      <c r="J44" s="4">
        <v>29.143999999999998</v>
      </c>
      <c r="K44" s="4">
        <v>34.000999999999998</v>
      </c>
      <c r="L44" s="4">
        <v>38.857999999999997</v>
      </c>
      <c r="M44" s="4">
        <v>43.715000000000003</v>
      </c>
      <c r="N44" s="4">
        <v>48.573</v>
      </c>
      <c r="O44" s="4">
        <v>53.43</v>
      </c>
      <c r="P44" s="4">
        <v>58.286999999999999</v>
      </c>
      <c r="Q44" s="4">
        <v>63.143999999999998</v>
      </c>
      <c r="R44" s="4">
        <v>68.001999999999995</v>
      </c>
    </row>
    <row r="45" spans="5:18" x14ac:dyDescent="0.2">
      <c r="E45" s="115"/>
      <c r="F45" s="2">
        <v>0.5</v>
      </c>
      <c r="G45" s="4">
        <f>G39*1.239704</f>
        <v>109.53785819862941</v>
      </c>
      <c r="H45" s="4">
        <v>24.794</v>
      </c>
      <c r="I45" s="4">
        <v>30.992999999999999</v>
      </c>
      <c r="J45" s="4">
        <v>37.191000000000003</v>
      </c>
      <c r="K45" s="4">
        <v>43.39</v>
      </c>
      <c r="L45" s="4">
        <v>49.588000000000001</v>
      </c>
      <c r="M45" s="4">
        <v>55.786999999999999</v>
      </c>
      <c r="N45" s="4">
        <v>61.984999999999999</v>
      </c>
      <c r="O45" s="4">
        <v>68.183999999999997</v>
      </c>
      <c r="P45" s="4">
        <v>74.382000000000005</v>
      </c>
      <c r="Q45" s="4">
        <v>80.581000000000003</v>
      </c>
      <c r="R45" s="4">
        <v>86.778999999999996</v>
      </c>
    </row>
    <row r="46" spans="5:18" x14ac:dyDescent="0.2">
      <c r="E46" s="115"/>
      <c r="F46" s="2">
        <v>0.33300000000000002</v>
      </c>
      <c r="G46" s="4">
        <f>G39*1.391</f>
        <v>122.90608141483251</v>
      </c>
      <c r="H46" s="4">
        <v>27.82</v>
      </c>
      <c r="I46" s="4">
        <v>34.774999999999999</v>
      </c>
      <c r="J46" s="4">
        <v>41.73</v>
      </c>
      <c r="K46" s="4">
        <v>48.685000000000002</v>
      </c>
      <c r="L46" s="4">
        <v>55.64</v>
      </c>
      <c r="M46" s="4">
        <v>62.594999999999999</v>
      </c>
      <c r="N46" s="4">
        <v>69.55</v>
      </c>
      <c r="O46" s="4">
        <v>76.504999999999995</v>
      </c>
      <c r="P46" s="4">
        <v>83.46</v>
      </c>
      <c r="Q46" s="4">
        <v>90.415000000000006</v>
      </c>
      <c r="R46" s="4">
        <v>97.37</v>
      </c>
    </row>
    <row r="47" spans="5:18" x14ac:dyDescent="0.2">
      <c r="E47" s="115"/>
      <c r="F47" s="2">
        <v>0.2</v>
      </c>
      <c r="G47" s="4">
        <f>G39*1.575068</f>
        <v>139.16997544349204</v>
      </c>
      <c r="H47" s="4">
        <v>31.494</v>
      </c>
      <c r="I47" s="4">
        <v>39.368000000000002</v>
      </c>
      <c r="J47" s="4">
        <v>47.241</v>
      </c>
      <c r="K47" s="4">
        <v>55.115000000000002</v>
      </c>
      <c r="L47" s="4">
        <v>62.988</v>
      </c>
      <c r="M47" s="4">
        <v>70.861999999999995</v>
      </c>
      <c r="N47" s="4">
        <v>78.734999999999999</v>
      </c>
      <c r="O47" s="4">
        <v>86.608999999999995</v>
      </c>
      <c r="P47" s="4">
        <v>94.481999999999999</v>
      </c>
      <c r="Q47" s="4">
        <v>102.35599999999999</v>
      </c>
      <c r="R47" s="4">
        <v>110.229</v>
      </c>
    </row>
    <row r="48" spans="5:18" x14ac:dyDescent="0.2">
      <c r="E48" s="115"/>
      <c r="F48" s="2">
        <v>0.1</v>
      </c>
      <c r="G48" s="4">
        <f>G39*1.824104</f>
        <v>161.17431684624128</v>
      </c>
      <c r="H48" s="4">
        <v>36.481999999999999</v>
      </c>
      <c r="I48" s="4">
        <v>45.603000000000002</v>
      </c>
      <c r="J48" s="4">
        <v>54.722999999999999</v>
      </c>
      <c r="K48" s="4">
        <v>63.844000000000001</v>
      </c>
      <c r="L48" s="4">
        <v>72.963999999999999</v>
      </c>
      <c r="M48" s="4">
        <v>82.084999999999994</v>
      </c>
      <c r="N48" s="4">
        <v>91.204999999999998</v>
      </c>
      <c r="O48" s="4">
        <v>100.32599999999999</v>
      </c>
      <c r="P48" s="4">
        <v>109.446</v>
      </c>
      <c r="Q48" s="4">
        <v>118.56699999999999</v>
      </c>
      <c r="R48" s="4">
        <v>127.687</v>
      </c>
    </row>
    <row r="49" spans="5:5" x14ac:dyDescent="0.2">
      <c r="E49" s="2"/>
    </row>
    <row r="74" spans="5:7" x14ac:dyDescent="0.2">
      <c r="E74" s="2"/>
      <c r="F74" s="2"/>
      <c r="G74" s="2"/>
    </row>
    <row r="76" spans="5:7" x14ac:dyDescent="0.2">
      <c r="F76" s="7"/>
      <c r="G76" s="2"/>
    </row>
  </sheetData>
  <mergeCells count="5">
    <mergeCell ref="E1:E10"/>
    <mergeCell ref="E19:E25"/>
    <mergeCell ref="E39:E48"/>
    <mergeCell ref="E27:E36"/>
    <mergeCell ref="A1:C1"/>
  </mergeCells>
  <pageMargins left="0.7" right="0.7" top="0.75" bottom="0.75" header="0.3" footer="0.3"/>
  <pageSetup paperSize="9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Feuil5"/>
  <dimension ref="A1:P68"/>
  <sheetViews>
    <sheetView workbookViewId="0">
      <selection activeCell="E25" sqref="E25"/>
    </sheetView>
  </sheetViews>
  <sheetFormatPr baseColWidth="10" defaultRowHeight="12.75" x14ac:dyDescent="0.2"/>
  <cols>
    <col min="3" max="3" width="11.42578125" style="10"/>
    <col min="8" max="8" width="11.42578125" style="10"/>
    <col min="13" max="13" width="11.42578125" style="10"/>
  </cols>
  <sheetData>
    <row r="1" spans="1:16" ht="13.5" thickBot="1" x14ac:dyDescent="0.25">
      <c r="B1" t="s">
        <v>100</v>
      </c>
      <c r="C1" s="48">
        <f>'BR Simplifié'!B62</f>
        <v>14.432010906145996</v>
      </c>
      <c r="D1" s="1" t="s">
        <v>25</v>
      </c>
      <c r="E1" s="1"/>
      <c r="F1" s="1"/>
      <c r="H1" s="42" t="s">
        <v>150</v>
      </c>
      <c r="I1" s="43">
        <v>1.8</v>
      </c>
      <c r="J1" t="s">
        <v>21</v>
      </c>
      <c r="L1" s="118" t="s">
        <v>122</v>
      </c>
      <c r="M1" s="118"/>
      <c r="N1" s="118"/>
    </row>
    <row r="3" spans="1:16" x14ac:dyDescent="0.2">
      <c r="A3" s="1" t="s">
        <v>76</v>
      </c>
      <c r="B3" s="49">
        <v>1.4</v>
      </c>
      <c r="C3" s="50">
        <f>C5*B3</f>
        <v>28.67260980320151</v>
      </c>
      <c r="D3" s="51" t="s">
        <v>21</v>
      </c>
      <c r="E3" s="47">
        <f t="shared" ref="E3:E5" si="0">C3+2*$I$1</f>
        <v>32.272609803201512</v>
      </c>
      <c r="F3" s="31" t="s">
        <v>21</v>
      </c>
      <c r="G3" s="49">
        <v>1.9</v>
      </c>
      <c r="H3" s="50">
        <f>H5*G3</f>
        <v>33.386329214492712</v>
      </c>
      <c r="I3" s="51" t="s">
        <v>21</v>
      </c>
      <c r="J3" s="47">
        <f>H3+2*$I$1</f>
        <v>36.986329214492713</v>
      </c>
      <c r="K3" s="31" t="s">
        <v>21</v>
      </c>
      <c r="L3" s="44">
        <v>4</v>
      </c>
      <c r="M3" s="45">
        <f>M5*L3</f>
        <v>48.693644243503094</v>
      </c>
      <c r="N3" s="46" t="s">
        <v>21</v>
      </c>
      <c r="O3" s="47">
        <f>M3+2*$I$1</f>
        <v>52.293644243503095</v>
      </c>
      <c r="P3" s="31" t="s">
        <v>21</v>
      </c>
    </row>
    <row r="4" spans="1:16" x14ac:dyDescent="0.2">
      <c r="A4" s="1" t="s">
        <v>10</v>
      </c>
      <c r="B4" s="49">
        <v>1.2</v>
      </c>
      <c r="C4" s="50">
        <f>C5*B4</f>
        <v>24.576522688458436</v>
      </c>
      <c r="D4" s="51" t="s">
        <v>21</v>
      </c>
      <c r="E4" s="47">
        <f t="shared" si="0"/>
        <v>28.176522688458437</v>
      </c>
      <c r="F4" s="31" t="s">
        <v>21</v>
      </c>
      <c r="G4" s="49">
        <v>1.4</v>
      </c>
      <c r="H4" s="50">
        <f>H5*G4</f>
        <v>24.600453105415681</v>
      </c>
      <c r="I4" s="51" t="s">
        <v>21</v>
      </c>
      <c r="J4" s="47">
        <f>H4+2*$I$1</f>
        <v>28.200453105415683</v>
      </c>
      <c r="K4" s="31" t="s">
        <v>21</v>
      </c>
      <c r="L4" s="44">
        <v>2</v>
      </c>
      <c r="M4" s="45">
        <f>M5*L4</f>
        <v>24.346822121751547</v>
      </c>
      <c r="N4" s="46" t="s">
        <v>21</v>
      </c>
      <c r="O4" s="47">
        <f>M4+2*$I$1</f>
        <v>27.946822121751548</v>
      </c>
      <c r="P4" s="31" t="s">
        <v>21</v>
      </c>
    </row>
    <row r="5" spans="1:16" x14ac:dyDescent="0.2">
      <c r="A5" s="1" t="s">
        <v>44</v>
      </c>
      <c r="B5" s="49">
        <v>1</v>
      </c>
      <c r="C5" s="50">
        <f>(($C$1*1000)/(B3*B4))^(1/3)</f>
        <v>20.480435573715365</v>
      </c>
      <c r="D5" s="51" t="s">
        <v>21</v>
      </c>
      <c r="E5" s="47">
        <f t="shared" si="0"/>
        <v>24.080435573715366</v>
      </c>
      <c r="F5" s="31" t="s">
        <v>21</v>
      </c>
      <c r="G5" s="49">
        <v>1</v>
      </c>
      <c r="H5" s="50">
        <f>(($C$1*1000)/(G3*G4))^(1/3)</f>
        <v>17.57175221815406</v>
      </c>
      <c r="I5" s="51" t="s">
        <v>21</v>
      </c>
      <c r="J5" s="47">
        <f>H5+2*$I$1</f>
        <v>21.171752218154062</v>
      </c>
      <c r="K5" s="31" t="s">
        <v>21</v>
      </c>
      <c r="L5" s="44">
        <v>1</v>
      </c>
      <c r="M5" s="45">
        <f>(($C$1*1000)/(L3*L4))^(1/3)</f>
        <v>12.173411060875774</v>
      </c>
      <c r="N5" s="46" t="s">
        <v>21</v>
      </c>
      <c r="O5" s="47">
        <f>M5+2*$I$1</f>
        <v>15.773411060875773</v>
      </c>
      <c r="P5" s="31" t="s">
        <v>21</v>
      </c>
    </row>
    <row r="6" spans="1:16" x14ac:dyDescent="0.2">
      <c r="J6" s="47"/>
      <c r="K6" s="31"/>
      <c r="M6"/>
    </row>
    <row r="7" spans="1:16" x14ac:dyDescent="0.2">
      <c r="A7" s="1" t="s">
        <v>76</v>
      </c>
      <c r="B7" s="44">
        <v>1.4039999999999999</v>
      </c>
      <c r="C7" s="45">
        <f>C9*B7</f>
        <v>28.987187101437357</v>
      </c>
      <c r="D7" s="46" t="s">
        <v>21</v>
      </c>
      <c r="E7" s="47">
        <f>C7+2*$I$1</f>
        <v>32.587187101437358</v>
      </c>
      <c r="F7" s="31" t="s">
        <v>21</v>
      </c>
      <c r="G7" s="44">
        <v>2.1</v>
      </c>
      <c r="H7" s="45">
        <f>H9*G7</f>
        <v>34.136198223206854</v>
      </c>
      <c r="I7" s="46" t="s">
        <v>21</v>
      </c>
      <c r="J7" s="47">
        <f t="shared" ref="J7:J9" si="1">H7+2*$I$1</f>
        <v>37.736198223206856</v>
      </c>
      <c r="K7" s="31" t="s">
        <v>21</v>
      </c>
      <c r="L7" s="44">
        <v>3.266</v>
      </c>
      <c r="M7" s="45">
        <f>M9*L7</f>
        <v>50.617749250505156</v>
      </c>
      <c r="N7" s="46" t="s">
        <v>21</v>
      </c>
      <c r="O7" s="47">
        <f>M7+2*$I$1</f>
        <v>54.217749250505157</v>
      </c>
      <c r="P7" s="31" t="s">
        <v>21</v>
      </c>
    </row>
    <row r="8" spans="1:16" x14ac:dyDescent="0.2">
      <c r="A8" s="1" t="s">
        <v>10</v>
      </c>
      <c r="B8" s="44">
        <v>1.1679999999999999</v>
      </c>
      <c r="C8" s="45">
        <f>C9*B8</f>
        <v>24.11469696187951</v>
      </c>
      <c r="D8" s="46" t="s">
        <v>21</v>
      </c>
      <c r="E8" s="47">
        <f t="shared" ref="E8:E41" si="2">C8+2*$I$1</f>
        <v>27.714696961879511</v>
      </c>
      <c r="F8" s="31" t="s">
        <v>21</v>
      </c>
      <c r="G8" s="44">
        <v>1.6</v>
      </c>
      <c r="H8" s="45">
        <f>H9*G8</f>
        <v>26.008531979586174</v>
      </c>
      <c r="I8" s="46" t="s">
        <v>21</v>
      </c>
      <c r="J8" s="47">
        <f t="shared" si="1"/>
        <v>29.608531979586175</v>
      </c>
      <c r="K8" s="31" t="s">
        <v>21</v>
      </c>
      <c r="L8" s="44">
        <v>1.1870000000000001</v>
      </c>
      <c r="M8" s="45">
        <f>M9*L8</f>
        <v>18.396591659629401</v>
      </c>
      <c r="N8" s="46" t="s">
        <v>21</v>
      </c>
      <c r="O8" s="47">
        <f>M8+2*$I$1</f>
        <v>21.996591659629402</v>
      </c>
      <c r="P8" s="31" t="s">
        <v>21</v>
      </c>
    </row>
    <row r="9" spans="1:16" x14ac:dyDescent="0.2">
      <c r="A9" s="1" t="s">
        <v>44</v>
      </c>
      <c r="B9" s="44">
        <v>1</v>
      </c>
      <c r="C9" s="45">
        <f>(($C$1*1000)/(B7*B8))^(1/3)</f>
        <v>20.646144659143417</v>
      </c>
      <c r="D9" s="46" t="s">
        <v>21</v>
      </c>
      <c r="E9" s="47">
        <f t="shared" si="2"/>
        <v>24.246144659143418</v>
      </c>
      <c r="F9" s="31" t="s">
        <v>21</v>
      </c>
      <c r="G9" s="44">
        <v>1</v>
      </c>
      <c r="H9" s="45">
        <f>(($C$1*1000)/(G7*G8))^(1/3)</f>
        <v>16.255332487241358</v>
      </c>
      <c r="I9" s="46" t="s">
        <v>21</v>
      </c>
      <c r="J9" s="47">
        <f t="shared" si="1"/>
        <v>19.855332487241359</v>
      </c>
      <c r="K9" s="31" t="s">
        <v>21</v>
      </c>
      <c r="L9" s="44">
        <v>1</v>
      </c>
      <c r="M9" s="45">
        <f>(($C$1*1000)/(L7*L8))^(1/3)</f>
        <v>15.498392299603539</v>
      </c>
      <c r="N9" s="46" t="s">
        <v>21</v>
      </c>
      <c r="O9" s="47">
        <f>M9+2*$I$1</f>
        <v>19.098392299603539</v>
      </c>
      <c r="P9" s="31" t="s">
        <v>21</v>
      </c>
    </row>
    <row r="10" spans="1:16" ht="13.5" thickBot="1" x14ac:dyDescent="0.25">
      <c r="E10" s="47"/>
      <c r="F10" s="31"/>
      <c r="J10" s="47"/>
      <c r="K10" s="31"/>
      <c r="M10"/>
      <c r="O10" s="47"/>
      <c r="P10" s="31"/>
    </row>
    <row r="11" spans="1:16" x14ac:dyDescent="0.2">
      <c r="A11" s="1" t="s">
        <v>76</v>
      </c>
      <c r="B11" s="61">
        <v>1.39</v>
      </c>
      <c r="C11" s="68">
        <f>C13*B11</f>
        <v>29.028005666509788</v>
      </c>
      <c r="D11" s="62" t="s">
        <v>21</v>
      </c>
      <c r="E11" s="47">
        <f t="shared" ref="E11:E13" si="3">C11+2*$I$1</f>
        <v>32.628005666509786</v>
      </c>
      <c r="F11" s="31" t="s">
        <v>21</v>
      </c>
      <c r="G11" s="49">
        <v>1.9</v>
      </c>
      <c r="H11" s="50">
        <f>H13*G11</f>
        <v>34.221331189357755</v>
      </c>
      <c r="I11" s="51" t="s">
        <v>21</v>
      </c>
      <c r="J11" s="47">
        <f>H11+2*$I$1</f>
        <v>37.821331189357757</v>
      </c>
      <c r="K11" s="31" t="s">
        <v>21</v>
      </c>
      <c r="L11" s="44">
        <v>3.67</v>
      </c>
      <c r="M11" s="45">
        <f>M13*L11</f>
        <v>56.099271205903598</v>
      </c>
      <c r="N11" s="46" t="s">
        <v>21</v>
      </c>
      <c r="O11" s="47">
        <f>M11+2*$I$1</f>
        <v>59.699271205903599</v>
      </c>
      <c r="P11" s="31" t="s">
        <v>21</v>
      </c>
    </row>
    <row r="12" spans="1:16" x14ac:dyDescent="0.2">
      <c r="A12" s="1" t="s">
        <v>10</v>
      </c>
      <c r="B12" s="63">
        <v>1.1399999999999999</v>
      </c>
      <c r="C12" s="50">
        <f>C13*B12</f>
        <v>23.807141338000832</v>
      </c>
      <c r="D12" s="64" t="s">
        <v>21</v>
      </c>
      <c r="E12" s="47">
        <f t="shared" si="3"/>
        <v>27.407141338000834</v>
      </c>
      <c r="F12" s="31" t="s">
        <v>21</v>
      </c>
      <c r="G12" s="49">
        <v>1.3</v>
      </c>
      <c r="H12" s="50">
        <f>H13*G12</f>
        <v>23.414595024297412</v>
      </c>
      <c r="I12" s="51" t="s">
        <v>21</v>
      </c>
      <c r="J12" s="47">
        <f>H12+2*$I$1</f>
        <v>27.014595024297414</v>
      </c>
      <c r="K12" s="31" t="s">
        <v>21</v>
      </c>
      <c r="L12" s="44">
        <v>1.101</v>
      </c>
      <c r="M12" s="45">
        <f>M13*L12</f>
        <v>16.829781361771079</v>
      </c>
      <c r="N12" s="46" t="s">
        <v>21</v>
      </c>
      <c r="O12" s="47">
        <f>M12+2*$I$1</f>
        <v>20.429781361771081</v>
      </c>
      <c r="P12" s="31" t="s">
        <v>21</v>
      </c>
    </row>
    <row r="13" spans="1:16" ht="13.5" thickBot="1" x14ac:dyDescent="0.25">
      <c r="A13" s="1" t="s">
        <v>44</v>
      </c>
      <c r="B13" s="65">
        <v>1</v>
      </c>
      <c r="C13" s="69">
        <f>(($C$1*1000)/(B11*B12))^(1/3)</f>
        <v>20.88345731403582</v>
      </c>
      <c r="D13" s="66" t="s">
        <v>21</v>
      </c>
      <c r="E13" s="47">
        <f t="shared" si="3"/>
        <v>24.483457314035821</v>
      </c>
      <c r="F13" s="31" t="s">
        <v>21</v>
      </c>
      <c r="G13" s="49">
        <v>1</v>
      </c>
      <c r="H13" s="50">
        <f>(($C$1*1000)/(G11*G12))^(1/3)</f>
        <v>18.011226941767241</v>
      </c>
      <c r="I13" s="51" t="s">
        <v>21</v>
      </c>
      <c r="J13" s="47">
        <f>H13+2*$I$1</f>
        <v>21.611226941767242</v>
      </c>
      <c r="K13" s="31" t="s">
        <v>21</v>
      </c>
      <c r="L13" s="44">
        <v>1</v>
      </c>
      <c r="M13" s="45">
        <f>(($C$1*1000)/(L11*L12))^(1/3)</f>
        <v>15.285904960736675</v>
      </c>
      <c r="N13" s="46" t="s">
        <v>21</v>
      </c>
      <c r="O13" s="47">
        <f>M13+2*$I$1</f>
        <v>18.885904960736674</v>
      </c>
      <c r="P13" s="31" t="s">
        <v>21</v>
      </c>
    </row>
    <row r="14" spans="1:16" x14ac:dyDescent="0.2">
      <c r="E14" s="47"/>
      <c r="F14" s="31"/>
      <c r="J14" s="47"/>
      <c r="K14" s="31"/>
      <c r="O14" s="47"/>
      <c r="P14" s="31"/>
    </row>
    <row r="15" spans="1:16" x14ac:dyDescent="0.2">
      <c r="A15" s="1" t="s">
        <v>76</v>
      </c>
      <c r="B15" s="44">
        <v>1.4350000000000001</v>
      </c>
      <c r="C15" s="45">
        <f>C17*B15</f>
        <v>29.132341635270556</v>
      </c>
      <c r="D15" s="46" t="s">
        <v>21</v>
      </c>
      <c r="E15" s="47">
        <f t="shared" si="2"/>
        <v>32.732341635270558</v>
      </c>
      <c r="F15" s="31" t="s">
        <v>21</v>
      </c>
      <c r="G15" s="44">
        <v>2.1</v>
      </c>
      <c r="H15" s="45">
        <f>H17*G15</f>
        <v>34.878520912665941</v>
      </c>
      <c r="I15" s="46" t="s">
        <v>21</v>
      </c>
      <c r="J15" s="47">
        <f>H15+2*$I$1</f>
        <v>38.478520912665942</v>
      </c>
      <c r="K15" s="31" t="s">
        <v>21</v>
      </c>
      <c r="L15" s="44">
        <v>4.3339999999999996</v>
      </c>
      <c r="M15" s="45">
        <f>M17*L15</f>
        <v>61.228213549733177</v>
      </c>
      <c r="N15" s="46" t="s">
        <v>21</v>
      </c>
      <c r="O15" s="47">
        <f>M15+2*$I$1</f>
        <v>64.828213549733178</v>
      </c>
      <c r="P15" s="31" t="s">
        <v>21</v>
      </c>
    </row>
    <row r="16" spans="1:16" x14ac:dyDescent="0.2">
      <c r="A16" s="1" t="s">
        <v>10</v>
      </c>
      <c r="B16" s="44">
        <v>1.202</v>
      </c>
      <c r="C16" s="45">
        <f>C17*B16</f>
        <v>24.402142610170877</v>
      </c>
      <c r="D16" s="46" t="s">
        <v>21</v>
      </c>
      <c r="E16" s="47">
        <f t="shared" si="2"/>
        <v>28.002142610170878</v>
      </c>
      <c r="F16" s="31" t="s">
        <v>21</v>
      </c>
      <c r="G16" s="44">
        <v>1.5</v>
      </c>
      <c r="H16" s="45">
        <f>H17*G16</f>
        <v>24.913229223332813</v>
      </c>
      <c r="I16" s="46" t="s">
        <v>21</v>
      </c>
      <c r="J16" s="47">
        <f>H16+2*$I$1</f>
        <v>28.513229223332814</v>
      </c>
      <c r="K16" s="31" t="s">
        <v>21</v>
      </c>
      <c r="L16" s="44">
        <v>1.181</v>
      </c>
      <c r="M16" s="45">
        <f>M17*L16</f>
        <v>16.684476281087885</v>
      </c>
      <c r="N16" s="46" t="s">
        <v>21</v>
      </c>
      <c r="O16" s="47">
        <f>M16+2*$I$1</f>
        <v>20.284476281087887</v>
      </c>
      <c r="P16" s="31" t="s">
        <v>21</v>
      </c>
    </row>
    <row r="17" spans="1:16" x14ac:dyDescent="0.2">
      <c r="A17" s="1" t="s">
        <v>44</v>
      </c>
      <c r="B17" s="44">
        <v>1</v>
      </c>
      <c r="C17" s="45">
        <f>(($C$1*1000)/(B15*B16))^(1/3)</f>
        <v>20.301283369526519</v>
      </c>
      <c r="D17" s="46" t="s">
        <v>21</v>
      </c>
      <c r="E17" s="47">
        <f t="shared" si="2"/>
        <v>23.901283369526521</v>
      </c>
      <c r="F17" s="31" t="s">
        <v>21</v>
      </c>
      <c r="G17" s="44">
        <v>1</v>
      </c>
      <c r="H17" s="45">
        <f>(($C$1*1000)/(G15*G16))^(1/3)</f>
        <v>16.608819482221875</v>
      </c>
      <c r="I17" s="46" t="s">
        <v>21</v>
      </c>
      <c r="J17" s="47">
        <f>H17+2*$I$1</f>
        <v>20.208819482221877</v>
      </c>
      <c r="K17" s="31" t="s">
        <v>21</v>
      </c>
      <c r="L17" s="44">
        <v>1</v>
      </c>
      <c r="M17" s="45">
        <f>(($C$1*1000)/(L15*L16))^(1/3)</f>
        <v>14.127414293893212</v>
      </c>
      <c r="N17" s="46" t="s">
        <v>21</v>
      </c>
      <c r="O17" s="47">
        <f>M17+2*$I$1</f>
        <v>17.727414293893212</v>
      </c>
      <c r="P17" s="31" t="s">
        <v>21</v>
      </c>
    </row>
    <row r="18" spans="1:16" x14ac:dyDescent="0.2">
      <c r="E18" s="47"/>
      <c r="F18" s="31"/>
      <c r="J18" s="47"/>
      <c r="K18" s="31"/>
      <c r="O18" s="47"/>
      <c r="P18" s="31"/>
    </row>
    <row r="19" spans="1:16" x14ac:dyDescent="0.2">
      <c r="A19" s="1" t="s">
        <v>76</v>
      </c>
      <c r="B19" s="44">
        <v>1.4</v>
      </c>
      <c r="C19" s="45">
        <f>C21*B19</f>
        <v>29.516401654923985</v>
      </c>
      <c r="D19" s="46" t="s">
        <v>21</v>
      </c>
      <c r="E19" s="47">
        <f t="shared" ref="E19:E21" si="4">C19+2*$I$1</f>
        <v>33.116401654923983</v>
      </c>
      <c r="F19" s="31" t="s">
        <v>21</v>
      </c>
      <c r="G19" s="44">
        <v>2.1</v>
      </c>
      <c r="H19" s="45">
        <f>H21*G19</f>
        <v>35.689938593330517</v>
      </c>
      <c r="I19" s="46" t="s">
        <v>21</v>
      </c>
      <c r="J19" s="47">
        <f>H19+2*$I$1</f>
        <v>39.289938593330518</v>
      </c>
      <c r="K19" s="31" t="s">
        <v>21</v>
      </c>
      <c r="L19" s="44">
        <v>4.6689999999999996</v>
      </c>
      <c r="M19" s="45">
        <f>M21*L19</f>
        <v>62.755057359333634</v>
      </c>
      <c r="N19" s="46" t="s">
        <v>21</v>
      </c>
      <c r="O19" s="47">
        <f>M19+2*$I$1</f>
        <v>66.355057359333628</v>
      </c>
      <c r="P19" s="31" t="s">
        <v>21</v>
      </c>
    </row>
    <row r="20" spans="1:16" x14ac:dyDescent="0.2">
      <c r="A20" s="1" t="s">
        <v>10</v>
      </c>
      <c r="B20" s="44">
        <v>1.1000000000000001</v>
      </c>
      <c r="C20" s="45">
        <f>C21*B20</f>
        <v>23.191458443154566</v>
      </c>
      <c r="D20" s="46" t="s">
        <v>21</v>
      </c>
      <c r="E20" s="47">
        <f t="shared" si="4"/>
        <v>26.791458443154568</v>
      </c>
      <c r="F20" s="31" t="s">
        <v>21</v>
      </c>
      <c r="G20" s="44">
        <v>1.4</v>
      </c>
      <c r="H20" s="45">
        <f>H21*G20</f>
        <v>23.793292395553674</v>
      </c>
      <c r="I20" s="46" t="s">
        <v>21</v>
      </c>
      <c r="J20" s="47">
        <f>H20+2*$I$1</f>
        <v>27.393292395553676</v>
      </c>
      <c r="K20" s="31" t="s">
        <v>21</v>
      </c>
      <c r="L20" s="44">
        <v>1.2729999999999999</v>
      </c>
      <c r="M20" s="45">
        <f>M21*L20</f>
        <v>17.110128082765414</v>
      </c>
      <c r="N20" s="46" t="s">
        <v>21</v>
      </c>
      <c r="O20" s="47">
        <f>M20+2*$I$1</f>
        <v>20.710128082765415</v>
      </c>
      <c r="P20" s="31" t="s">
        <v>21</v>
      </c>
    </row>
    <row r="21" spans="1:16" x14ac:dyDescent="0.2">
      <c r="A21" s="1" t="s">
        <v>44</v>
      </c>
      <c r="B21" s="44">
        <v>1</v>
      </c>
      <c r="C21" s="45">
        <f>(($C$1*1000)/(B19*B20))^(1/3)</f>
        <v>21.083144039231421</v>
      </c>
      <c r="D21" s="46" t="s">
        <v>21</v>
      </c>
      <c r="E21" s="47">
        <f t="shared" si="4"/>
        <v>24.683144039231422</v>
      </c>
      <c r="F21" s="31" t="s">
        <v>21</v>
      </c>
      <c r="G21" s="44">
        <v>1</v>
      </c>
      <c r="H21" s="45">
        <f>(($C$1*1000)/(G19*G20))^(1/3)</f>
        <v>16.995208853966911</v>
      </c>
      <c r="I21" s="46" t="s">
        <v>21</v>
      </c>
      <c r="J21" s="47">
        <f>H21+2*$I$1</f>
        <v>20.595208853966913</v>
      </c>
      <c r="K21" s="31" t="s">
        <v>21</v>
      </c>
      <c r="L21" s="44">
        <v>1</v>
      </c>
      <c r="M21" s="45">
        <f>(($C$1*1000)/(L19*L20))^(1/3)</f>
        <v>13.44079189533811</v>
      </c>
      <c r="N21" s="46" t="s">
        <v>21</v>
      </c>
      <c r="O21" s="47">
        <f>M21+2*$I$1</f>
        <v>17.04079189533811</v>
      </c>
      <c r="P21" s="31" t="s">
        <v>21</v>
      </c>
    </row>
    <row r="22" spans="1:16" x14ac:dyDescent="0.2">
      <c r="E22" s="47"/>
      <c r="F22" s="31"/>
      <c r="J22" s="47"/>
      <c r="K22" s="31"/>
      <c r="O22" s="47"/>
      <c r="P22" s="31"/>
    </row>
    <row r="23" spans="1:16" x14ac:dyDescent="0.2">
      <c r="A23" s="1" t="s">
        <v>76</v>
      </c>
      <c r="B23" s="49">
        <v>1.54</v>
      </c>
      <c r="C23" s="50">
        <f>C25*B23</f>
        <v>29.903322191396825</v>
      </c>
      <c r="D23" s="51" t="s">
        <v>21</v>
      </c>
      <c r="E23" s="47">
        <f t="shared" ref="E23:E25" si="5">C23+2*$I$1</f>
        <v>33.503322191396826</v>
      </c>
      <c r="F23" s="31" t="s">
        <v>21</v>
      </c>
      <c r="G23" s="49">
        <v>2.33</v>
      </c>
      <c r="H23" s="50">
        <f>H25*G23</f>
        <v>36.585267594589929</v>
      </c>
      <c r="I23" s="51" t="s">
        <v>21</v>
      </c>
      <c r="J23" s="47">
        <f>H23+2*$I$1</f>
        <v>40.185267594589931</v>
      </c>
      <c r="K23" s="31" t="s">
        <v>21</v>
      </c>
      <c r="L23" s="49">
        <v>1.88</v>
      </c>
      <c r="M23" s="50">
        <f>M25*L23</f>
        <v>33.555954187985108</v>
      </c>
      <c r="N23" s="51" t="s">
        <v>21</v>
      </c>
      <c r="O23" s="47">
        <f>M23+2*$I$1</f>
        <v>37.15595418798511</v>
      </c>
      <c r="P23" s="31" t="s">
        <v>21</v>
      </c>
    </row>
    <row r="24" spans="1:16" x14ac:dyDescent="0.2">
      <c r="A24" s="1" t="s">
        <v>10</v>
      </c>
      <c r="B24" s="49">
        <v>1.28</v>
      </c>
      <c r="C24" s="50">
        <f>C25*B24</f>
        <v>24.854709353888271</v>
      </c>
      <c r="D24" s="51" t="s">
        <v>21</v>
      </c>
      <c r="E24" s="47">
        <f t="shared" si="5"/>
        <v>28.454709353888273</v>
      </c>
      <c r="F24" s="31" t="s">
        <v>21</v>
      </c>
      <c r="G24" s="49">
        <v>1.6</v>
      </c>
      <c r="H24" s="50">
        <f>H25*G24</f>
        <v>25.122930537057464</v>
      </c>
      <c r="I24" s="51" t="s">
        <v>21</v>
      </c>
      <c r="J24" s="47">
        <f>H24+2*$I$1</f>
        <v>28.722930537057465</v>
      </c>
      <c r="K24" s="31" t="s">
        <v>21</v>
      </c>
      <c r="L24" s="49">
        <v>1.35</v>
      </c>
      <c r="M24" s="50">
        <f>M25*L24</f>
        <v>24.096030932861652</v>
      </c>
      <c r="N24" s="51" t="s">
        <v>21</v>
      </c>
      <c r="O24" s="47">
        <f>M24+2*$I$1</f>
        <v>27.696030932861653</v>
      </c>
      <c r="P24" s="31" t="s">
        <v>21</v>
      </c>
    </row>
    <row r="25" spans="1:16" x14ac:dyDescent="0.2">
      <c r="A25" s="1" t="s">
        <v>44</v>
      </c>
      <c r="B25" s="49">
        <v>1</v>
      </c>
      <c r="C25" s="50">
        <f>(($C$1*1000)/(B23*B24))^(1/3)</f>
        <v>19.417741682725211</v>
      </c>
      <c r="D25" s="51" t="s">
        <v>21</v>
      </c>
      <c r="E25" s="47">
        <f t="shared" si="5"/>
        <v>23.017741682725212</v>
      </c>
      <c r="F25" s="31" t="s">
        <v>21</v>
      </c>
      <c r="G25" s="49">
        <v>1</v>
      </c>
      <c r="H25" s="50">
        <f>(($C$1*1000)/(G23*G24))^(1/3)</f>
        <v>15.701831585660914</v>
      </c>
      <c r="I25" s="51" t="s">
        <v>21</v>
      </c>
      <c r="J25" s="47">
        <f>H25+2*$I$1</f>
        <v>19.301831585660914</v>
      </c>
      <c r="K25" s="31" t="s">
        <v>21</v>
      </c>
      <c r="L25" s="49">
        <v>1</v>
      </c>
      <c r="M25" s="50">
        <f>(($C$1*1000)/(L23*L24))^(1/3)</f>
        <v>17.848911802119741</v>
      </c>
      <c r="N25" s="51" t="s">
        <v>21</v>
      </c>
      <c r="O25" s="47">
        <f>M25+2*$I$1</f>
        <v>21.448911802119742</v>
      </c>
      <c r="P25" s="31" t="s">
        <v>21</v>
      </c>
    </row>
    <row r="26" spans="1:16" x14ac:dyDescent="0.2">
      <c r="E26" s="47"/>
      <c r="F26" s="31"/>
      <c r="J26" s="47"/>
      <c r="K26" s="31"/>
      <c r="M26"/>
    </row>
    <row r="27" spans="1:16" x14ac:dyDescent="0.2">
      <c r="A27" s="1" t="s">
        <v>76</v>
      </c>
      <c r="B27" s="49">
        <v>1.587</v>
      </c>
      <c r="C27" s="50">
        <f>C29*B27</f>
        <v>30.669266236600329</v>
      </c>
      <c r="D27" s="51" t="s">
        <v>21</v>
      </c>
      <c r="E27" s="47">
        <f t="shared" si="2"/>
        <v>34.26926623660033</v>
      </c>
      <c r="F27" s="31" t="s">
        <v>21</v>
      </c>
      <c r="G27" s="44">
        <v>2.2000000000000002</v>
      </c>
      <c r="H27" s="45">
        <f>H29*G27</f>
        <v>36.814145529340337</v>
      </c>
      <c r="I27" s="46" t="s">
        <v>21</v>
      </c>
      <c r="J27" s="47">
        <f>H27+2*$I$1</f>
        <v>40.414145529340338</v>
      </c>
      <c r="K27" s="31" t="s">
        <v>21</v>
      </c>
      <c r="L27" s="49">
        <v>1.45</v>
      </c>
      <c r="M27" s="67">
        <f>M29*L27</f>
        <v>29.684856548304762</v>
      </c>
      <c r="N27" s="51" t="s">
        <v>21</v>
      </c>
      <c r="O27" s="47">
        <f>M27+2*$I$1</f>
        <v>33.284856548304759</v>
      </c>
      <c r="P27" s="31" t="s">
        <v>21</v>
      </c>
    </row>
    <row r="28" spans="1:16" x14ac:dyDescent="0.2">
      <c r="A28" s="1" t="s">
        <v>10</v>
      </c>
      <c r="B28" s="49">
        <v>1.26</v>
      </c>
      <c r="C28" s="50">
        <f>C29*B28</f>
        <v>24.349890017716707</v>
      </c>
      <c r="D28" s="51" t="s">
        <v>21</v>
      </c>
      <c r="E28" s="47">
        <f t="shared" si="2"/>
        <v>27.949890017716708</v>
      </c>
      <c r="F28" s="31" t="s">
        <v>21</v>
      </c>
      <c r="G28" s="44">
        <v>1.4</v>
      </c>
      <c r="H28" s="45">
        <f>H29*G28</f>
        <v>23.427183518671118</v>
      </c>
      <c r="I28" s="46" t="s">
        <v>21</v>
      </c>
      <c r="J28" s="47">
        <f>H28+2*$I$1</f>
        <v>27.027183518671119</v>
      </c>
      <c r="K28" s="31" t="s">
        <v>21</v>
      </c>
      <c r="L28" s="49">
        <v>1.1599999999999999</v>
      </c>
      <c r="M28" s="67">
        <f>M29*L28</f>
        <v>23.747885238643807</v>
      </c>
      <c r="N28" s="51" t="s">
        <v>21</v>
      </c>
      <c r="O28" s="47">
        <f>M28+2*$I$1</f>
        <v>27.347885238643808</v>
      </c>
      <c r="P28" s="31" t="s">
        <v>21</v>
      </c>
    </row>
    <row r="29" spans="1:16" x14ac:dyDescent="0.2">
      <c r="A29" s="1" t="s">
        <v>44</v>
      </c>
      <c r="B29" s="49">
        <v>1</v>
      </c>
      <c r="C29" s="50">
        <f>(($C$1*1000)/(B27*B28))^(1/3)</f>
        <v>19.325309537870403</v>
      </c>
      <c r="D29" s="51" t="s">
        <v>21</v>
      </c>
      <c r="E29" s="47">
        <f t="shared" si="2"/>
        <v>22.925309537870405</v>
      </c>
      <c r="F29" s="31" t="s">
        <v>21</v>
      </c>
      <c r="G29" s="44">
        <v>1</v>
      </c>
      <c r="H29" s="45">
        <f>(($C$1*1000)/(G27*G28))^(1/3)</f>
        <v>16.733702513336514</v>
      </c>
      <c r="I29" s="46" t="s">
        <v>21</v>
      </c>
      <c r="J29" s="47">
        <f>H29+2*$I$1</f>
        <v>20.333702513336515</v>
      </c>
      <c r="K29" s="31" t="s">
        <v>21</v>
      </c>
      <c r="L29" s="49">
        <v>1</v>
      </c>
      <c r="M29" s="67">
        <f>(($C$1*1000)/(L27*L28))^(1/3)</f>
        <v>20.472314860899836</v>
      </c>
      <c r="N29" s="51" t="s">
        <v>21</v>
      </c>
      <c r="O29" s="47">
        <f>M29+2*$I$1</f>
        <v>24.072314860899837</v>
      </c>
      <c r="P29" s="31" t="s">
        <v>21</v>
      </c>
    </row>
    <row r="30" spans="1:16" x14ac:dyDescent="0.2">
      <c r="E30" s="47"/>
      <c r="F30" s="31"/>
      <c r="J30" s="47"/>
      <c r="K30" s="31"/>
      <c r="O30" s="47"/>
      <c r="P30" s="31"/>
    </row>
    <row r="31" spans="1:16" x14ac:dyDescent="0.2">
      <c r="A31" s="1" t="s">
        <v>76</v>
      </c>
      <c r="B31" s="44">
        <v>1.8</v>
      </c>
      <c r="C31" s="45">
        <f>C33*B31</f>
        <v>32.204355167678592</v>
      </c>
      <c r="D31" s="46" t="s">
        <v>21</v>
      </c>
      <c r="E31" s="47">
        <f t="shared" ref="E31:E33" si="6">C31+2*$I$1</f>
        <v>35.804355167678594</v>
      </c>
      <c r="F31" s="31" t="s">
        <v>21</v>
      </c>
      <c r="G31" s="44">
        <v>2.2610000000000001</v>
      </c>
      <c r="H31" s="45">
        <f>H33*G31</f>
        <v>38.518311730197844</v>
      </c>
      <c r="I31" s="46" t="s">
        <v>21</v>
      </c>
      <c r="J31" s="47">
        <f>H31+2*$I$1</f>
        <v>42.118311730197846</v>
      </c>
      <c r="K31" s="31" t="s">
        <v>21</v>
      </c>
      <c r="L31" s="44"/>
      <c r="M31" s="45" t="e">
        <f>M33*L31</f>
        <v>#DIV/0!</v>
      </c>
      <c r="N31" s="46" t="s">
        <v>21</v>
      </c>
      <c r="O31" s="47" t="e">
        <f>M31+2*$I$1</f>
        <v>#DIV/0!</v>
      </c>
      <c r="P31" s="31" t="s">
        <v>21</v>
      </c>
    </row>
    <row r="32" spans="1:16" x14ac:dyDescent="0.2">
      <c r="A32" s="1" t="s">
        <v>10</v>
      </c>
      <c r="B32" s="44">
        <v>1.4</v>
      </c>
      <c r="C32" s="45">
        <f>C33*B32</f>
        <v>25.047831797083347</v>
      </c>
      <c r="D32" s="46" t="s">
        <v>21</v>
      </c>
      <c r="E32" s="47">
        <f t="shared" si="6"/>
        <v>28.647831797083349</v>
      </c>
      <c r="F32" s="31" t="s">
        <v>21</v>
      </c>
      <c r="G32" s="44">
        <v>1.2909999999999999</v>
      </c>
      <c r="H32" s="45">
        <f>H33*G32</f>
        <v>21.993427883098366</v>
      </c>
      <c r="I32" s="46" t="s">
        <v>21</v>
      </c>
      <c r="J32" s="47">
        <f>H32+2*$I$1</f>
        <v>25.593427883098368</v>
      </c>
      <c r="K32" s="31" t="s">
        <v>21</v>
      </c>
      <c r="L32" s="44"/>
      <c r="M32" s="45" t="e">
        <f>M33*L32</f>
        <v>#DIV/0!</v>
      </c>
      <c r="N32" s="46" t="s">
        <v>21</v>
      </c>
      <c r="O32" s="47" t="e">
        <f>M32+2*$I$1</f>
        <v>#DIV/0!</v>
      </c>
      <c r="P32" s="31" t="s">
        <v>21</v>
      </c>
    </row>
    <row r="33" spans="1:16" x14ac:dyDescent="0.2">
      <c r="A33" s="1" t="s">
        <v>44</v>
      </c>
      <c r="B33" s="44">
        <v>1</v>
      </c>
      <c r="C33" s="45">
        <f>(($C$1*1000)/(B31*B32))^(1/3)</f>
        <v>17.891308426488106</v>
      </c>
      <c r="D33" s="46" t="s">
        <v>21</v>
      </c>
      <c r="E33" s="47">
        <f t="shared" si="6"/>
        <v>21.491308426488107</v>
      </c>
      <c r="F33" s="31" t="s">
        <v>21</v>
      </c>
      <c r="G33" s="44">
        <v>1</v>
      </c>
      <c r="H33" s="45">
        <f>(($C$1*1000)/(G31*G32))^(1/3)</f>
        <v>17.035962728968528</v>
      </c>
      <c r="I33" s="46" t="s">
        <v>21</v>
      </c>
      <c r="J33" s="47">
        <f>H33+2*$I$1</f>
        <v>20.635962728968529</v>
      </c>
      <c r="K33" s="31" t="s">
        <v>21</v>
      </c>
      <c r="L33" s="44">
        <v>1</v>
      </c>
      <c r="M33" s="45" t="e">
        <f>(($C$1*1000)/(L31*L32))^(1/3)</f>
        <v>#DIV/0!</v>
      </c>
      <c r="N33" s="46" t="s">
        <v>21</v>
      </c>
      <c r="O33" s="47" t="e">
        <f>M33+2*$I$1</f>
        <v>#DIV/0!</v>
      </c>
      <c r="P33" s="31" t="s">
        <v>21</v>
      </c>
    </row>
    <row r="34" spans="1:16" x14ac:dyDescent="0.2">
      <c r="E34" s="47"/>
      <c r="F34" s="31"/>
      <c r="J34" s="47"/>
      <c r="K34" s="31"/>
      <c r="O34" s="47"/>
      <c r="P34" s="31"/>
    </row>
    <row r="35" spans="1:16" x14ac:dyDescent="0.2">
      <c r="A35" s="1" t="s">
        <v>76</v>
      </c>
      <c r="B35" s="44">
        <v>1.7669999999999999</v>
      </c>
      <c r="C35" s="45">
        <f>C37*B35</f>
        <v>32.93782771637882</v>
      </c>
      <c r="D35" s="46" t="s">
        <v>21</v>
      </c>
      <c r="E35" s="47">
        <f>C35+2*$I$1</f>
        <v>36.537827716378821</v>
      </c>
      <c r="F35" s="31" t="s">
        <v>21</v>
      </c>
      <c r="G35" s="44">
        <v>2.5</v>
      </c>
      <c r="H35" s="45">
        <f>H37*G35</f>
        <v>42.20285903181469</v>
      </c>
      <c r="I35" s="46" t="s">
        <v>21</v>
      </c>
      <c r="J35" s="47">
        <f>H35+2*$I$1</f>
        <v>45.802859031814691</v>
      </c>
      <c r="K35" s="31" t="s">
        <v>21</v>
      </c>
      <c r="L35" s="44"/>
      <c r="M35" s="45" t="e">
        <f>M37*L35</f>
        <v>#DIV/0!</v>
      </c>
      <c r="N35" s="46" t="s">
        <v>21</v>
      </c>
      <c r="O35" s="47" t="e">
        <f>M35+2*$I$1</f>
        <v>#DIV/0!</v>
      </c>
      <c r="P35" s="31" t="s">
        <v>21</v>
      </c>
    </row>
    <row r="36" spans="1:16" x14ac:dyDescent="0.2">
      <c r="A36" s="1" t="s">
        <v>10</v>
      </c>
      <c r="B36" s="44">
        <v>1.2609999999999999</v>
      </c>
      <c r="C36" s="45">
        <f>C37*B36</f>
        <v>23.505716327308257</v>
      </c>
      <c r="D36" s="46" t="s">
        <v>21</v>
      </c>
      <c r="E36" s="47">
        <f t="shared" ref="E36:E37" si="7">C36+2*$I$1</f>
        <v>27.105716327308258</v>
      </c>
      <c r="F36" s="31" t="s">
        <v>21</v>
      </c>
      <c r="G36" s="44">
        <v>1.2</v>
      </c>
      <c r="H36" s="45">
        <f>H37*G36</f>
        <v>20.25737233527105</v>
      </c>
      <c r="I36" s="46" t="s">
        <v>21</v>
      </c>
      <c r="J36" s="47">
        <f>H36+2*$I$1</f>
        <v>23.857372335271052</v>
      </c>
      <c r="K36" s="31" t="s">
        <v>21</v>
      </c>
      <c r="L36" s="44"/>
      <c r="M36" s="45" t="e">
        <f>M37*L36</f>
        <v>#DIV/0!</v>
      </c>
      <c r="N36" s="46" t="s">
        <v>21</v>
      </c>
      <c r="O36" s="47" t="e">
        <f>M36+2*$I$1</f>
        <v>#DIV/0!</v>
      </c>
      <c r="P36" s="31" t="s">
        <v>21</v>
      </c>
    </row>
    <row r="37" spans="1:16" x14ac:dyDescent="0.2">
      <c r="A37" s="1" t="s">
        <v>44</v>
      </c>
      <c r="B37" s="44">
        <v>1</v>
      </c>
      <c r="C37" s="45">
        <f>(($C$1*1000)/(B35*B36))^(1/3)</f>
        <v>18.640536342036683</v>
      </c>
      <c r="D37" s="46" t="s">
        <v>21</v>
      </c>
      <c r="E37" s="47">
        <f t="shared" si="7"/>
        <v>22.240536342036684</v>
      </c>
      <c r="F37" s="31" t="s">
        <v>21</v>
      </c>
      <c r="G37" s="44">
        <v>1</v>
      </c>
      <c r="H37" s="45">
        <f>(($C$1*1000)/(G35*G36))^(1/3)</f>
        <v>16.881143612725875</v>
      </c>
      <c r="I37" s="46" t="s">
        <v>21</v>
      </c>
      <c r="J37" s="47">
        <f>H37+2*$I$1</f>
        <v>20.481143612725877</v>
      </c>
      <c r="K37" s="31" t="s">
        <v>21</v>
      </c>
      <c r="L37" s="44">
        <v>1</v>
      </c>
      <c r="M37" s="45" t="e">
        <f>(($C$1*1000)/(L35*L36))^(1/3)</f>
        <v>#DIV/0!</v>
      </c>
      <c r="N37" s="46" t="s">
        <v>21</v>
      </c>
      <c r="O37" s="47" t="e">
        <f>M37+2*$I$1</f>
        <v>#DIV/0!</v>
      </c>
      <c r="P37" s="31" t="s">
        <v>21</v>
      </c>
    </row>
    <row r="38" spans="1:16" x14ac:dyDescent="0.2">
      <c r="E38" s="47"/>
      <c r="F38" s="31"/>
      <c r="J38" s="47"/>
      <c r="K38" s="31"/>
      <c r="O38" s="47"/>
      <c r="P38" s="31"/>
    </row>
    <row r="39" spans="1:16" x14ac:dyDescent="0.2">
      <c r="A39" s="1" t="s">
        <v>76</v>
      </c>
      <c r="B39" s="49">
        <v>1.8720000000000001</v>
      </c>
      <c r="C39" s="50">
        <f>C41*B39</f>
        <v>32.99478434387634</v>
      </c>
      <c r="D39" s="51" t="s">
        <v>21</v>
      </c>
      <c r="E39" s="47">
        <f t="shared" si="2"/>
        <v>36.594784343876341</v>
      </c>
      <c r="F39" s="31" t="s">
        <v>21</v>
      </c>
      <c r="G39" s="44">
        <v>2.6360000000000001</v>
      </c>
      <c r="H39" s="45">
        <f>H41*G39</f>
        <v>44.077835021724837</v>
      </c>
      <c r="I39" s="46" t="s">
        <v>21</v>
      </c>
      <c r="J39" s="47">
        <f>H39+2*$I$1</f>
        <v>47.677835021724839</v>
      </c>
      <c r="K39" s="31" t="s">
        <v>21</v>
      </c>
      <c r="L39" s="44">
        <v>0</v>
      </c>
      <c r="M39" s="45" t="e">
        <f>M41*L39</f>
        <v>#DIV/0!</v>
      </c>
      <c r="N39" s="46" t="s">
        <v>21</v>
      </c>
      <c r="O39" s="47" t="e">
        <f>M39+2*$I$1</f>
        <v>#DIV/0!</v>
      </c>
      <c r="P39" s="31" t="s">
        <v>21</v>
      </c>
    </row>
    <row r="40" spans="1:16" x14ac:dyDescent="0.2">
      <c r="A40" s="1" t="s">
        <v>10</v>
      </c>
      <c r="B40" s="49">
        <v>1.4079999999999999</v>
      </c>
      <c r="C40" s="50">
        <f>C41*B40</f>
        <v>24.816589933855703</v>
      </c>
      <c r="D40" s="51" t="s">
        <v>21</v>
      </c>
      <c r="E40" s="47">
        <f t="shared" si="2"/>
        <v>28.416589933855704</v>
      </c>
      <c r="F40" s="31" t="s">
        <v>21</v>
      </c>
      <c r="G40" s="44">
        <v>1.171</v>
      </c>
      <c r="H40" s="45">
        <f>H41*G40</f>
        <v>19.580859184537097</v>
      </c>
      <c r="I40" s="46" t="s">
        <v>21</v>
      </c>
      <c r="J40" s="47">
        <f>H40+2*$I$1</f>
        <v>23.180859184537098</v>
      </c>
      <c r="K40" s="31" t="s">
        <v>21</v>
      </c>
      <c r="L40" s="44">
        <v>0</v>
      </c>
      <c r="M40" s="45" t="e">
        <f>M41*L40</f>
        <v>#DIV/0!</v>
      </c>
      <c r="N40" s="46" t="s">
        <v>21</v>
      </c>
      <c r="O40" s="47" t="e">
        <f>M40+2*$I$1</f>
        <v>#DIV/0!</v>
      </c>
      <c r="P40" s="31" t="s">
        <v>21</v>
      </c>
    </row>
    <row r="41" spans="1:16" x14ac:dyDescent="0.2">
      <c r="A41" s="1" t="s">
        <v>44</v>
      </c>
      <c r="B41" s="49">
        <v>1</v>
      </c>
      <c r="C41" s="50">
        <f>(($C$1*1000)/(B39*B40))^(1/3)</f>
        <v>17.625418987113427</v>
      </c>
      <c r="D41" s="51" t="s">
        <v>21</v>
      </c>
      <c r="E41" s="47">
        <f t="shared" si="2"/>
        <v>21.225418987113429</v>
      </c>
      <c r="F41" s="31" t="s">
        <v>21</v>
      </c>
      <c r="G41" s="44">
        <v>1</v>
      </c>
      <c r="H41" s="45">
        <f>(($C$1*1000)/(G39*G40))^(1/3)</f>
        <v>16.721485213097434</v>
      </c>
      <c r="I41" s="46" t="s">
        <v>21</v>
      </c>
      <c r="J41" s="47">
        <f>H41+2*$I$1</f>
        <v>20.321485213097436</v>
      </c>
      <c r="K41" s="31" t="s">
        <v>21</v>
      </c>
      <c r="L41" s="44">
        <v>1</v>
      </c>
      <c r="M41" s="45" t="e">
        <f>(($C$1*1000)/(L39*L40))^(1/3)</f>
        <v>#DIV/0!</v>
      </c>
      <c r="N41" s="46" t="s">
        <v>21</v>
      </c>
      <c r="O41" s="47" t="e">
        <f>M41+2*$I$1</f>
        <v>#DIV/0!</v>
      </c>
      <c r="P41" s="31" t="s">
        <v>21</v>
      </c>
    </row>
    <row r="42" spans="1:16" x14ac:dyDescent="0.2">
      <c r="E42" s="47"/>
      <c r="F42" s="31"/>
      <c r="J42" s="47"/>
      <c r="K42" s="31"/>
      <c r="M42"/>
    </row>
    <row r="43" spans="1:16" x14ac:dyDescent="0.2">
      <c r="A43" s="1"/>
      <c r="J43" s="47"/>
      <c r="K43" s="31"/>
      <c r="M43"/>
    </row>
    <row r="44" spans="1:16" x14ac:dyDescent="0.2">
      <c r="A44" s="1"/>
      <c r="C44"/>
      <c r="J44" s="47"/>
      <c r="K44" s="31"/>
      <c r="M44"/>
    </row>
    <row r="45" spans="1:16" x14ac:dyDescent="0.2">
      <c r="C45"/>
      <c r="J45" s="47"/>
      <c r="K45" s="31"/>
      <c r="M45"/>
    </row>
    <row r="46" spans="1:16" x14ac:dyDescent="0.2">
      <c r="A46" s="1"/>
      <c r="C46"/>
      <c r="J46" s="47"/>
      <c r="K46" s="31"/>
      <c r="M46"/>
    </row>
    <row r="47" spans="1:16" x14ac:dyDescent="0.2">
      <c r="A47" s="1"/>
      <c r="C47"/>
      <c r="J47" s="47"/>
      <c r="K47" s="31"/>
      <c r="M47"/>
    </row>
    <row r="48" spans="1:16" x14ac:dyDescent="0.2">
      <c r="A48" s="1"/>
      <c r="C48"/>
      <c r="J48" s="47"/>
      <c r="K48" s="31"/>
      <c r="M48"/>
    </row>
    <row r="49" spans="1:13" x14ac:dyDescent="0.2">
      <c r="C49"/>
      <c r="J49" s="47"/>
      <c r="K49" s="31"/>
      <c r="M49"/>
    </row>
    <row r="50" spans="1:13" x14ac:dyDescent="0.2">
      <c r="A50" s="1"/>
      <c r="C50"/>
      <c r="J50" s="47"/>
      <c r="K50" s="31"/>
      <c r="M50"/>
    </row>
    <row r="51" spans="1:13" x14ac:dyDescent="0.2">
      <c r="A51" s="1"/>
      <c r="C51"/>
      <c r="J51" s="47"/>
      <c r="K51" s="31"/>
      <c r="M51"/>
    </row>
    <row r="52" spans="1:13" x14ac:dyDescent="0.2">
      <c r="A52" s="1"/>
      <c r="C52"/>
      <c r="J52" s="47"/>
      <c r="K52" s="31"/>
      <c r="M52"/>
    </row>
    <row r="53" spans="1:13" x14ac:dyDescent="0.2">
      <c r="C53"/>
      <c r="J53" s="47"/>
      <c r="K53" s="31"/>
      <c r="M53"/>
    </row>
    <row r="54" spans="1:13" x14ac:dyDescent="0.2">
      <c r="A54" s="1"/>
      <c r="C54"/>
      <c r="J54" s="47"/>
      <c r="K54" s="31"/>
      <c r="M54"/>
    </row>
    <row r="55" spans="1:13" x14ac:dyDescent="0.2">
      <c r="A55" s="1"/>
      <c r="C55"/>
      <c r="J55" s="47"/>
      <c r="K55" s="31"/>
      <c r="M55"/>
    </row>
    <row r="56" spans="1:13" x14ac:dyDescent="0.2">
      <c r="A56" s="1"/>
      <c r="C56"/>
      <c r="J56" s="47"/>
      <c r="K56" s="31"/>
      <c r="M56"/>
    </row>
    <row r="57" spans="1:13" x14ac:dyDescent="0.2">
      <c r="J57" s="47"/>
      <c r="K57" s="31"/>
    </row>
    <row r="58" spans="1:13" x14ac:dyDescent="0.2">
      <c r="A58" s="1"/>
      <c r="J58" s="47"/>
      <c r="K58" s="31"/>
    </row>
    <row r="59" spans="1:13" x14ac:dyDescent="0.2">
      <c r="A59" s="1"/>
      <c r="J59" s="47"/>
      <c r="K59" s="31"/>
    </row>
    <row r="60" spans="1:13" x14ac:dyDescent="0.2">
      <c r="A60" s="1"/>
      <c r="J60" s="47"/>
      <c r="K60" s="31"/>
    </row>
    <row r="62" spans="1:13" x14ac:dyDescent="0.2">
      <c r="A62" s="1"/>
    </row>
    <row r="63" spans="1:13" x14ac:dyDescent="0.2">
      <c r="A63" s="1"/>
    </row>
    <row r="64" spans="1:13" x14ac:dyDescent="0.2">
      <c r="A64" s="1"/>
    </row>
    <row r="66" spans="1:1" x14ac:dyDescent="0.2">
      <c r="A66" s="1"/>
    </row>
    <row r="67" spans="1:1" x14ac:dyDescent="0.2">
      <c r="A67" s="1"/>
    </row>
    <row r="68" spans="1:1" x14ac:dyDescent="0.2">
      <c r="A68" s="1"/>
    </row>
  </sheetData>
  <mergeCells count="1">
    <mergeCell ref="L1:N1"/>
  </mergeCells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Feuil6"/>
  <dimension ref="A1:J28"/>
  <sheetViews>
    <sheetView workbookViewId="0"/>
  </sheetViews>
  <sheetFormatPr baseColWidth="10" defaultRowHeight="12.75" x14ac:dyDescent="0.2"/>
  <cols>
    <col min="1" max="1" width="22.140625" bestFit="1" customWidth="1"/>
    <col min="2" max="2" width="12.42578125" bestFit="1" customWidth="1"/>
  </cols>
  <sheetData>
    <row r="1" spans="1:10" ht="13.5" thickBot="1" x14ac:dyDescent="0.25"/>
    <row r="2" spans="1:10" ht="13.5" thickBot="1" x14ac:dyDescent="0.25">
      <c r="A2" t="s">
        <v>157</v>
      </c>
      <c r="B2" s="12">
        <f>B6/(B6+(B7^2/2/B4/B5/B8))*B8*10000*1.55</f>
        <v>2045795.2258031163</v>
      </c>
      <c r="C2" s="31" t="s">
        <v>20</v>
      </c>
    </row>
    <row r="4" spans="1:10" x14ac:dyDescent="0.2">
      <c r="A4" s="6" t="s">
        <v>13</v>
      </c>
      <c r="B4">
        <f>'Caractéristique HP'!G4</f>
        <v>1.194</v>
      </c>
      <c r="C4" s="2" t="s">
        <v>16</v>
      </c>
    </row>
    <row r="5" spans="1:10" x14ac:dyDescent="0.2">
      <c r="A5" t="s">
        <v>31</v>
      </c>
      <c r="B5">
        <f>'Caractéristique HP'!G3</f>
        <v>343.70699999999999</v>
      </c>
      <c r="C5" t="s">
        <v>15</v>
      </c>
    </row>
    <row r="6" spans="1:10" x14ac:dyDescent="0.2">
      <c r="A6" t="s">
        <v>0</v>
      </c>
      <c r="B6">
        <f>'Caractéristique HP'!B11</f>
        <v>11.9</v>
      </c>
      <c r="C6" t="s">
        <v>11</v>
      </c>
    </row>
    <row r="7" spans="1:10" x14ac:dyDescent="0.2">
      <c r="A7" t="s">
        <v>36</v>
      </c>
      <c r="B7" s="14">
        <f>'Caractéristique HP'!B8</f>
        <v>11.36</v>
      </c>
      <c r="C7" t="s">
        <v>17</v>
      </c>
      <c r="J7" s="31" t="s">
        <v>174</v>
      </c>
    </row>
    <row r="8" spans="1:10" x14ac:dyDescent="0.2">
      <c r="A8" t="s">
        <v>3</v>
      </c>
      <c r="B8">
        <f>'Caractéristique HP'!B15</f>
        <v>132</v>
      </c>
      <c r="C8" t="s">
        <v>12</v>
      </c>
    </row>
    <row r="10" spans="1:10" x14ac:dyDescent="0.2">
      <c r="A10" t="s">
        <v>158</v>
      </c>
      <c r="B10" s="21">
        <f>B13*100</f>
        <v>140.01216799165718</v>
      </c>
      <c r="C10" t="s">
        <v>33</v>
      </c>
    </row>
    <row r="11" spans="1:10" x14ac:dyDescent="0.2">
      <c r="A11" t="s">
        <v>159</v>
      </c>
      <c r="B11" s="21">
        <f>B2/B10*100</f>
        <v>1461155.3089621596</v>
      </c>
      <c r="C11" t="s">
        <v>33</v>
      </c>
    </row>
    <row r="13" spans="1:10" x14ac:dyDescent="0.2">
      <c r="A13" t="s">
        <v>160</v>
      </c>
      <c r="B13" s="10">
        <f>'Caractéristique HP'!B68*10</f>
        <v>1.4001216799165719</v>
      </c>
      <c r="C13" t="s">
        <v>116</v>
      </c>
    </row>
    <row r="14" spans="1:10" x14ac:dyDescent="0.2">
      <c r="A14" t="s">
        <v>153</v>
      </c>
      <c r="B14" s="21">
        <f>(B13*10/2)^2*PI()</f>
        <v>153.96479999999994</v>
      </c>
      <c r="C14" s="31" t="s">
        <v>20</v>
      </c>
    </row>
    <row r="15" spans="1:10" x14ac:dyDescent="0.2">
      <c r="A15" t="s">
        <v>169</v>
      </c>
      <c r="B15" s="91">
        <f>'Calcul Box'!I1*10</f>
        <v>18</v>
      </c>
      <c r="C15" s="31" t="s">
        <v>33</v>
      </c>
    </row>
    <row r="16" spans="1:10" x14ac:dyDescent="0.2">
      <c r="A16" s="31" t="s">
        <v>172</v>
      </c>
      <c r="B16" s="21">
        <f>'Caractéristique HP'!B2*'Caractéristique HP'!B69/2.35*1000</f>
        <v>358.58120250030407</v>
      </c>
      <c r="C16" s="3" t="s">
        <v>171</v>
      </c>
    </row>
    <row r="17" spans="1:10" x14ac:dyDescent="0.2">
      <c r="A17" t="s">
        <v>152</v>
      </c>
      <c r="B17" s="21">
        <f>B14*B15/10+B16</f>
        <v>635.71784250030396</v>
      </c>
      <c r="C17" s="3" t="s">
        <v>171</v>
      </c>
    </row>
    <row r="19" spans="1:10" x14ac:dyDescent="0.2">
      <c r="A19" t="s">
        <v>154</v>
      </c>
      <c r="B19" s="21">
        <f>B2</f>
        <v>2045795.2258031163</v>
      </c>
      <c r="C19" s="31" t="s">
        <v>20</v>
      </c>
    </row>
    <row r="20" spans="1:10" x14ac:dyDescent="0.2">
      <c r="A20" t="s">
        <v>155</v>
      </c>
      <c r="B20">
        <f>'Calcul Box'!I1*10</f>
        <v>18</v>
      </c>
      <c r="C20" s="31" t="s">
        <v>33</v>
      </c>
      <c r="J20" s="31" t="s">
        <v>173</v>
      </c>
    </row>
    <row r="22" spans="1:10" x14ac:dyDescent="0.2">
      <c r="A22" t="s">
        <v>166</v>
      </c>
      <c r="B22" s="94" t="s">
        <v>167</v>
      </c>
    </row>
    <row r="23" spans="1:10" x14ac:dyDescent="0.2">
      <c r="A23" t="s">
        <v>165</v>
      </c>
      <c r="B23" s="10">
        <f>IF(B22="Clos",Clos!B9,'BR Simplifié'!B19)</f>
        <v>7.2288301422403869</v>
      </c>
      <c r="C23" t="s">
        <v>25</v>
      </c>
    </row>
    <row r="24" spans="1:10" x14ac:dyDescent="0.2">
      <c r="A24" t="s">
        <v>164</v>
      </c>
      <c r="B24" s="28">
        <f>'Caractéristique HP'!B67^2</f>
        <v>3.2982192100000009E-2</v>
      </c>
      <c r="C24" t="s">
        <v>12</v>
      </c>
    </row>
    <row r="25" spans="1:10" x14ac:dyDescent="0.2">
      <c r="A25" t="s">
        <v>163</v>
      </c>
      <c r="B25" s="88">
        <v>0.5</v>
      </c>
      <c r="C25" t="s">
        <v>12</v>
      </c>
    </row>
    <row r="26" spans="1:10" x14ac:dyDescent="0.2">
      <c r="A26" t="s">
        <v>156</v>
      </c>
      <c r="B26" s="10">
        <f>IF(B25="",B23/(B24*100)*10,B23/(B25*100)*10)</f>
        <v>1.4457660284480776</v>
      </c>
      <c r="C26" t="s">
        <v>21</v>
      </c>
    </row>
    <row r="27" spans="1:10" x14ac:dyDescent="0.2">
      <c r="A27" t="s">
        <v>155</v>
      </c>
      <c r="B27" s="10">
        <f>IF(B22="BR",'BR Simplifié'!G21/10,0)</f>
        <v>0</v>
      </c>
      <c r="C27" s="31" t="s">
        <v>21</v>
      </c>
    </row>
    <row r="28" spans="1:10" x14ac:dyDescent="0.2">
      <c r="A28" t="s">
        <v>168</v>
      </c>
      <c r="B28" s="10">
        <f>IF(B22="BR",'BR Simplifié'!G31,0)</f>
        <v>0</v>
      </c>
      <c r="C28" t="s">
        <v>20</v>
      </c>
    </row>
  </sheetData>
  <dataValidations count="1">
    <dataValidation type="list" allowBlank="1" showInputMessage="1" showErrorMessage="1" sqref="B22" xr:uid="{00000000-0002-0000-0500-000000000000}">
      <formula1>"Clos,BR"</formula1>
    </dataValidation>
  </dataValidation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6</vt:i4>
      </vt:variant>
    </vt:vector>
  </HeadingPairs>
  <TitlesOfParts>
    <vt:vector size="6" baseType="lpstr">
      <vt:lpstr>Caractéristique HP</vt:lpstr>
      <vt:lpstr>Clos</vt:lpstr>
      <vt:lpstr>BR Simplifié</vt:lpstr>
      <vt:lpstr>1-4 d'onde</vt:lpstr>
      <vt:lpstr>Calcul Box</vt:lpstr>
      <vt:lpstr>Pavillon</vt:lpstr>
    </vt:vector>
  </TitlesOfParts>
  <Company>Arkansas Tech University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SEBASTIEN SCHOCH - J489228</dc:creator>
  <cp:lastModifiedBy>Sébastien SCHOCH</cp:lastModifiedBy>
  <cp:lastPrinted>2017-08-31T09:09:22Z</cp:lastPrinted>
  <dcterms:created xsi:type="dcterms:W3CDTF">2009-02-26T04:08:38Z</dcterms:created>
  <dcterms:modified xsi:type="dcterms:W3CDTF">2023-01-18T11:04:05Z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2fd53d93-3f4c-4b90-b511-bd6bdbb4fba9_Enabled">
    <vt:lpwstr>True</vt:lpwstr>
  </property>
  <property fmtid="{D5CDD505-2E9C-101B-9397-08002B2CF9AE}" pid="3" name="MSIP_Label_2fd53d93-3f4c-4b90-b511-bd6bdbb4fba9_SiteId">
    <vt:lpwstr>d852d5cd-724c-4128-8812-ffa5db3f8507</vt:lpwstr>
  </property>
  <property fmtid="{D5CDD505-2E9C-101B-9397-08002B2CF9AE}" pid="4" name="MSIP_Label_2fd53d93-3f4c-4b90-b511-bd6bdbb4fba9_Owner">
    <vt:lpwstr>J489228@INETPSA.COM</vt:lpwstr>
  </property>
  <property fmtid="{D5CDD505-2E9C-101B-9397-08002B2CF9AE}" pid="5" name="MSIP_Label_2fd53d93-3f4c-4b90-b511-bd6bdbb4fba9_SetDate">
    <vt:lpwstr>2019-12-10T10:00:49.8846604Z</vt:lpwstr>
  </property>
  <property fmtid="{D5CDD505-2E9C-101B-9397-08002B2CF9AE}" pid="6" name="MSIP_Label_2fd53d93-3f4c-4b90-b511-bd6bdbb4fba9_Name">
    <vt:lpwstr>C2 - PSA Sensitive</vt:lpwstr>
  </property>
  <property fmtid="{D5CDD505-2E9C-101B-9397-08002B2CF9AE}" pid="7" name="MSIP_Label_2fd53d93-3f4c-4b90-b511-bd6bdbb4fba9_Application">
    <vt:lpwstr>Microsoft Azure Information Protection</vt:lpwstr>
  </property>
  <property fmtid="{D5CDD505-2E9C-101B-9397-08002B2CF9AE}" pid="8" name="MSIP_Label_2fd53d93-3f4c-4b90-b511-bd6bdbb4fba9_Extended_MSFT_Method">
    <vt:lpwstr>Automatic</vt:lpwstr>
  </property>
  <property fmtid="{D5CDD505-2E9C-101B-9397-08002B2CF9AE}" pid="9" name="Sensitivity">
    <vt:lpwstr>C2 - PSA Sensitive</vt:lpwstr>
  </property>
</Properties>
</file>